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G:\共有ドライブ\■05資産管理課萩ホール事務室\ウェブサイト更新\hagihall_edit\facility\images\"/>
    </mc:Choice>
  </mc:AlternateContent>
  <xr:revisionPtr revIDLastSave="0" documentId="13_ncr:1_{2C85CFDD-5A1D-409D-8B79-0E6DEB1361A6}" xr6:coauthVersionLast="47" xr6:coauthVersionMax="47" xr10:uidLastSave="{00000000-0000-0000-0000-000000000000}"/>
  <workbookProtection workbookAlgorithmName="SHA-512" workbookHashValue="iX3iApZxhjS3+ZpF80Lo1a5jSB/UVm1apsFRu2z8JVa3SGhphQS7gYU05CBXmHvyrwTc1VDZcrp2Q8XRcUg/tQ==" workbookSaltValue="yArcTHgLcs+UsBfCn3cM5g==" workbookSpinCount="100000" lockStructure="1"/>
  <bookViews>
    <workbookView xWindow="28680" yWindow="-570" windowWidth="29040" windowHeight="15720" tabRatio="649" xr2:uid="{00000000-000D-0000-FFFF-FFFF00000000}"/>
  </bookViews>
  <sheets>
    <sheet name="申込書" sheetId="4" r:id="rId1"/>
    <sheet name="付帯設備備品使用申込書" sheetId="15" r:id="rId2"/>
    <sheet name="免除申請書" sheetId="28" state="hidden" r:id="rId3"/>
    <sheet name="使用者情報" sheetId="12" state="hidden" r:id="rId4"/>
    <sheet name="内訳書" sheetId="11" state="hidden" r:id="rId5"/>
    <sheet name="判定表" sheetId="8" state="hidden" r:id="rId6"/>
    <sheet name="変更届" sheetId="21" state="hidden" r:id="rId7"/>
    <sheet name="変更届（紙）" sheetId="25" state="hidden" r:id="rId8"/>
    <sheet name="内訳書 (変更）" sheetId="23" state="hidden" r:id="rId9"/>
    <sheet name="判定表（変更）" sheetId="24" state="hidden" r:id="rId10"/>
    <sheet name="付帯設備（確定）" sheetId="20" state="hidden" r:id="rId11"/>
    <sheet name="延長使用届" sheetId="16" state="hidden" r:id="rId12"/>
    <sheet name="使用取止め届" sheetId="31" state="hidden" r:id="rId13"/>
    <sheet name="使用取止め承認書" sheetId="32" state="hidden" r:id="rId14"/>
    <sheet name="試算書" sheetId="34" state="hidden" r:id="rId15"/>
    <sheet name="料金" sheetId="6" state="hidden" r:id="rId16"/>
    <sheet name="祝日" sheetId="9" state="hidden" r:id="rId17"/>
  </sheets>
  <definedNames>
    <definedName name="_xlnm.Print_Area" localSheetId="11">延長使用届!$A$1:$AJ$47</definedName>
    <definedName name="_xlnm.Print_Area" localSheetId="13">使用取止め承認書!$A$1:$AK$44</definedName>
    <definedName name="_xlnm.Print_Area" localSheetId="12">使用取止め届!$A$1:$AK$51</definedName>
    <definedName name="_xlnm.Print_Area" localSheetId="14">試算書!$A$1:$I$38</definedName>
    <definedName name="_xlnm.Print_Area" localSheetId="16">祝日!$A$1:$C$35</definedName>
    <definedName name="_xlnm.Print_Area" localSheetId="0">申込書!$A$1:$AJ$113</definedName>
    <definedName name="_xlnm.Print_Area" localSheetId="4">内訳書!$A$1:$I$38</definedName>
    <definedName name="_xlnm.Print_Area" localSheetId="8">'内訳書 (変更）'!$A$1:$J$34</definedName>
    <definedName name="_xlnm.Print_Area" localSheetId="10">'付帯設備（確定）'!$A$1:$AJ$58</definedName>
    <definedName name="_xlnm.Print_Area" localSheetId="1">付帯設備備品使用申込書!$A$1:$AJ$56</definedName>
    <definedName name="_xlnm.Print_Area" localSheetId="6">変更届!$A$1:$AP$75</definedName>
    <definedName name="_xlnm.Print_Area" localSheetId="7">'変更届（紙）'!$A$1:$AP$83</definedName>
    <definedName name="_xlnm.Print_Area" localSheetId="2">免除申請書!$A$1:$AF$69</definedName>
    <definedName name="祝日一覧">祝日!#REF!</definedName>
    <definedName name="選定会議">使用者情報!$B$30:$I$31</definedName>
    <definedName name="台帳用データ">使用者情報!$B$3:$W$3</definedName>
    <definedName name="利用者管理">使用者情報!$B$11:$AC$18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9" i="21" l="1"/>
  <c r="L91" i="4"/>
  <c r="I32" i="32"/>
  <c r="AM32" i="32"/>
  <c r="A86" i="4"/>
  <c r="P57" i="4" l="1"/>
  <c r="E58" i="4"/>
  <c r="T20" i="24"/>
  <c r="T15" i="24"/>
  <c r="D21" i="24"/>
  <c r="D19" i="24"/>
  <c r="D17" i="24"/>
  <c r="D15" i="24"/>
  <c r="T20" i="8"/>
  <c r="T15" i="8"/>
  <c r="D21" i="8"/>
  <c r="D19" i="8"/>
  <c r="D17" i="8"/>
  <c r="D15" i="8"/>
  <c r="B8" i="11" l="1"/>
  <c r="C8" i="11" s="1"/>
  <c r="B10" i="11"/>
  <c r="C10" i="11" s="1"/>
  <c r="B14" i="9" l="1"/>
  <c r="B15" i="9"/>
  <c r="B16" i="9"/>
  <c r="B17" i="9"/>
  <c r="B18" i="9"/>
  <c r="B19" i="9"/>
  <c r="B1" i="9"/>
  <c r="B2" i="9"/>
  <c r="B3" i="9"/>
  <c r="B4" i="9"/>
  <c r="B5" i="9"/>
  <c r="B6" i="9"/>
  <c r="B7" i="9"/>
  <c r="B8" i="9"/>
  <c r="B9" i="9"/>
  <c r="B10" i="9"/>
  <c r="B11" i="9"/>
  <c r="B12" i="9"/>
  <c r="B13" i="9"/>
  <c r="E29" i="4"/>
  <c r="A91" i="4" l="1"/>
  <c r="G21" i="24"/>
  <c r="AD39" i="16"/>
  <c r="H2" i="11"/>
  <c r="I2" i="23"/>
  <c r="D2" i="8"/>
  <c r="W3" i="12"/>
  <c r="Q42" i="24"/>
  <c r="Q40" i="24"/>
  <c r="Q38" i="24"/>
  <c r="Q36" i="24"/>
  <c r="G3" i="12" l="1"/>
  <c r="AL83" i="4"/>
  <c r="AL81" i="4"/>
  <c r="AL79" i="4"/>
  <c r="AL77" i="4"/>
  <c r="AL71" i="4"/>
  <c r="AL69" i="4"/>
  <c r="AL67" i="4"/>
  <c r="AL65" i="4"/>
  <c r="T29" i="4"/>
  <c r="W30" i="4"/>
  <c r="T40" i="8"/>
  <c r="T35" i="8"/>
  <c r="T30" i="8"/>
  <c r="T25" i="8"/>
  <c r="W23" i="20"/>
  <c r="W16" i="20"/>
  <c r="X23" i="12"/>
  <c r="F50" i="12"/>
  <c r="E50" i="12"/>
  <c r="F20" i="31"/>
  <c r="D54" i="12" l="1"/>
  <c r="AR23" i="20"/>
  <c r="E22" i="16"/>
  <c r="E11" i="21"/>
  <c r="C38" i="32"/>
  <c r="I50" i="12" l="1"/>
  <c r="H50" i="12"/>
  <c r="G50" i="12"/>
  <c r="A50" i="12"/>
  <c r="B48" i="12" s="1"/>
  <c r="H31" i="12"/>
  <c r="H30" i="12"/>
  <c r="I30" i="12" s="1"/>
  <c r="H29" i="12"/>
  <c r="H28" i="12"/>
  <c r="H27" i="12"/>
  <c r="H26" i="12"/>
  <c r="I26" i="12" s="1"/>
  <c r="H25" i="12"/>
  <c r="H24" i="12"/>
  <c r="D23" i="12"/>
  <c r="C21" i="12"/>
  <c r="C23" i="12" s="1"/>
  <c r="D3" i="12"/>
  <c r="X3" i="12"/>
  <c r="W40" i="12"/>
  <c r="V40" i="12"/>
  <c r="U40" i="12"/>
  <c r="P23" i="12"/>
  <c r="N23" i="12"/>
  <c r="W20" i="12"/>
  <c r="V20" i="12"/>
  <c r="U20" i="12"/>
  <c r="H11" i="12"/>
  <c r="H10" i="12"/>
  <c r="I10" i="12" s="1"/>
  <c r="H9" i="12"/>
  <c r="I9" i="12" s="1"/>
  <c r="H8" i="12"/>
  <c r="H7" i="12"/>
  <c r="I7" i="12" s="1"/>
  <c r="H6" i="12"/>
  <c r="I6" i="12" s="1"/>
  <c r="H5" i="12"/>
  <c r="I5" i="12" s="1"/>
  <c r="H4" i="12"/>
  <c r="T3" i="12"/>
  <c r="S3" i="12"/>
  <c r="R3" i="12"/>
  <c r="V3" i="12" s="1"/>
  <c r="Q3" i="12"/>
  <c r="U3" i="12" s="1"/>
  <c r="P3" i="12"/>
  <c r="N3" i="12"/>
  <c r="F3" i="12"/>
  <c r="E3" i="12"/>
  <c r="C1" i="12"/>
  <c r="I8" i="12"/>
  <c r="B3" i="12"/>
  <c r="B50" i="12" s="1"/>
  <c r="I31" i="12"/>
  <c r="I29" i="12"/>
  <c r="I27" i="12"/>
  <c r="I25" i="12"/>
  <c r="I24" i="12"/>
  <c r="K21" i="8"/>
  <c r="K19" i="8"/>
  <c r="K17" i="8"/>
  <c r="K15" i="8"/>
  <c r="J15" i="8"/>
  <c r="B23" i="12" l="1"/>
  <c r="F23" i="12"/>
  <c r="H23" i="12"/>
  <c r="J23" i="12"/>
  <c r="E23" i="12"/>
  <c r="G23" i="12"/>
  <c r="I23" i="12"/>
  <c r="K23" i="12"/>
  <c r="I11" i="12"/>
  <c r="D51" i="12"/>
  <c r="D50" i="12"/>
  <c r="I4" i="12"/>
  <c r="I28" i="12"/>
  <c r="H39" i="12" s="1"/>
  <c r="K21" i="24"/>
  <c r="Q21" i="24" s="1"/>
  <c r="K19" i="24"/>
  <c r="Q19" i="24" s="1"/>
  <c r="K17" i="24"/>
  <c r="Q17" i="24" s="1"/>
  <c r="K15" i="24"/>
  <c r="Q15" i="24" s="1"/>
  <c r="B5" i="34"/>
  <c r="B8" i="34"/>
  <c r="C8" i="34" s="1"/>
  <c r="O31" i="34"/>
  <c r="G31" i="34"/>
  <c r="G30" i="34"/>
  <c r="O30" i="34" s="1"/>
  <c r="B30" i="34"/>
  <c r="C30" i="34" s="1"/>
  <c r="O29" i="34"/>
  <c r="G29" i="34"/>
  <c r="G28" i="34"/>
  <c r="O28" i="34" s="1"/>
  <c r="B28" i="34"/>
  <c r="C28" i="34" s="1"/>
  <c r="O27" i="34"/>
  <c r="G27" i="34"/>
  <c r="G26" i="34"/>
  <c r="O26" i="34" s="1"/>
  <c r="B26" i="34"/>
  <c r="C26" i="34" s="1"/>
  <c r="O25" i="34"/>
  <c r="G25" i="34"/>
  <c r="G24" i="34"/>
  <c r="O24" i="34" s="1"/>
  <c r="B24" i="34"/>
  <c r="C24" i="34" s="1"/>
  <c r="G22" i="34"/>
  <c r="O22" i="34" s="1"/>
  <c r="F22" i="34"/>
  <c r="F23" i="34" s="1"/>
  <c r="E22" i="34"/>
  <c r="E23" i="34" s="1"/>
  <c r="D22" i="34"/>
  <c r="G23" i="34" s="1"/>
  <c r="B22" i="34"/>
  <c r="C22" i="34" s="1"/>
  <c r="G20" i="34"/>
  <c r="O20" i="34" s="1"/>
  <c r="F20" i="34"/>
  <c r="F21" i="34" s="1"/>
  <c r="E20" i="34"/>
  <c r="E21" i="34" s="1"/>
  <c r="D20" i="34"/>
  <c r="G21" i="34" s="1"/>
  <c r="B20" i="34"/>
  <c r="C20" i="34" s="1"/>
  <c r="G18" i="34"/>
  <c r="O18" i="34" s="1"/>
  <c r="F18" i="34"/>
  <c r="F19" i="34" s="1"/>
  <c r="E18" i="34"/>
  <c r="E19" i="34" s="1"/>
  <c r="D18" i="34"/>
  <c r="G19" i="34" s="1"/>
  <c r="B18" i="34"/>
  <c r="C18" i="34" s="1"/>
  <c r="G16" i="34"/>
  <c r="O16" i="34" s="1"/>
  <c r="F16" i="34"/>
  <c r="F17" i="34" s="1"/>
  <c r="E16" i="34"/>
  <c r="E17" i="34" s="1"/>
  <c r="D16" i="34"/>
  <c r="G17" i="34" s="1"/>
  <c r="B16" i="34"/>
  <c r="C16" i="34" s="1"/>
  <c r="G14" i="34"/>
  <c r="O14" i="34" s="1"/>
  <c r="F14" i="34"/>
  <c r="F15" i="34" s="1"/>
  <c r="E14" i="34"/>
  <c r="E15" i="34" s="1"/>
  <c r="D14" i="34"/>
  <c r="G15" i="34" s="1"/>
  <c r="B14" i="34"/>
  <c r="C14" i="34" s="1"/>
  <c r="G12" i="34"/>
  <c r="O12" i="34" s="1"/>
  <c r="F12" i="34"/>
  <c r="F13" i="34" s="1"/>
  <c r="E12" i="34"/>
  <c r="E13" i="34" s="1"/>
  <c r="D12" i="34"/>
  <c r="G13" i="34" s="1"/>
  <c r="B12" i="34"/>
  <c r="C12" i="34" s="1"/>
  <c r="G10" i="34"/>
  <c r="O10" i="34" s="1"/>
  <c r="F10" i="34"/>
  <c r="E10" i="34"/>
  <c r="D10" i="34"/>
  <c r="G11" i="34" s="1"/>
  <c r="B10" i="34"/>
  <c r="C10" i="34" s="1"/>
  <c r="G8" i="34"/>
  <c r="O8" i="34" s="1"/>
  <c r="F8" i="34"/>
  <c r="E8" i="34"/>
  <c r="D8" i="34"/>
  <c r="H19" i="12" l="1"/>
  <c r="AB19" i="12" s="1"/>
  <c r="AB39" i="12"/>
  <c r="Z39" i="12"/>
  <c r="X39" i="12"/>
  <c r="AC39" i="12"/>
  <c r="AA39" i="12"/>
  <c r="Y39" i="12"/>
  <c r="H38" i="12"/>
  <c r="W38" i="12" s="1"/>
  <c r="H12" i="12"/>
  <c r="AC12" i="12" s="1"/>
  <c r="H13" i="12"/>
  <c r="AB13" i="12" s="1"/>
  <c r="H18" i="12"/>
  <c r="AA18" i="12" s="1"/>
  <c r="H17" i="12"/>
  <c r="AB17" i="12" s="1"/>
  <c r="H16" i="12"/>
  <c r="AC16" i="12" s="1"/>
  <c r="H14" i="12"/>
  <c r="AC14" i="12" s="1"/>
  <c r="H15" i="12"/>
  <c r="AB15" i="12" s="1"/>
  <c r="H37" i="12"/>
  <c r="L37" i="12" s="1"/>
  <c r="H33" i="12"/>
  <c r="H32" i="12"/>
  <c r="J32" i="12" s="1"/>
  <c r="H36" i="12"/>
  <c r="V39" i="12"/>
  <c r="T39" i="12"/>
  <c r="R39" i="12"/>
  <c r="P39" i="12"/>
  <c r="N39" i="12"/>
  <c r="L39" i="12"/>
  <c r="J39" i="12"/>
  <c r="F39" i="12"/>
  <c r="D39" i="12"/>
  <c r="B39" i="12"/>
  <c r="U39" i="12"/>
  <c r="Q39" i="12"/>
  <c r="M39" i="12"/>
  <c r="I39" i="12"/>
  <c r="E39" i="12"/>
  <c r="A39" i="12"/>
  <c r="S39" i="12"/>
  <c r="K39" i="12"/>
  <c r="C39" i="12"/>
  <c r="W39" i="12"/>
  <c r="O39" i="12"/>
  <c r="G39" i="12"/>
  <c r="T32" i="12"/>
  <c r="M37" i="12"/>
  <c r="N38" i="12"/>
  <c r="H34" i="12"/>
  <c r="H35" i="12"/>
  <c r="D13" i="34"/>
  <c r="H13" i="34" s="1"/>
  <c r="D15" i="34"/>
  <c r="H15" i="34" s="1"/>
  <c r="D19" i="34"/>
  <c r="H19" i="34" s="1"/>
  <c r="D21" i="34"/>
  <c r="H21" i="34" s="1"/>
  <c r="D23" i="34"/>
  <c r="H23" i="34" s="1"/>
  <c r="L8" i="34"/>
  <c r="M8" i="34"/>
  <c r="N8" i="34"/>
  <c r="L10" i="34"/>
  <c r="M10" i="34"/>
  <c r="N10" i="34"/>
  <c r="L12" i="34"/>
  <c r="M12" i="34"/>
  <c r="M13" i="34" s="1"/>
  <c r="N12" i="34"/>
  <c r="N13" i="34" s="1"/>
  <c r="L14" i="34"/>
  <c r="M14" i="34"/>
  <c r="M15" i="34" s="1"/>
  <c r="N14" i="34"/>
  <c r="N15" i="34" s="1"/>
  <c r="L16" i="34"/>
  <c r="M16" i="34"/>
  <c r="M17" i="34" s="1"/>
  <c r="N16" i="34"/>
  <c r="N17" i="34" s="1"/>
  <c r="L18" i="34"/>
  <c r="M18" i="34"/>
  <c r="M19" i="34" s="1"/>
  <c r="N18" i="34"/>
  <c r="N19" i="34" s="1"/>
  <c r="L20" i="34"/>
  <c r="M20" i="34"/>
  <c r="M21" i="34" s="1"/>
  <c r="N20" i="34"/>
  <c r="N21" i="34" s="1"/>
  <c r="L22" i="34"/>
  <c r="M22" i="34"/>
  <c r="M23" i="34" s="1"/>
  <c r="N22" i="34"/>
  <c r="N23" i="34" s="1"/>
  <c r="K38" i="12" l="1"/>
  <c r="T37" i="12"/>
  <c r="P38" i="12"/>
  <c r="C38" i="12"/>
  <c r="S38" i="12"/>
  <c r="B37" i="12"/>
  <c r="K32" i="12"/>
  <c r="U19" i="12"/>
  <c r="S19" i="12"/>
  <c r="N19" i="12"/>
  <c r="C19" i="12"/>
  <c r="E19" i="12"/>
  <c r="D19" i="12"/>
  <c r="V19" i="12"/>
  <c r="L38" i="12"/>
  <c r="F38" i="12"/>
  <c r="V38" i="12"/>
  <c r="G38" i="12"/>
  <c r="O38" i="12"/>
  <c r="O37" i="12"/>
  <c r="Q32" i="12"/>
  <c r="K19" i="12"/>
  <c r="AA19" i="12"/>
  <c r="M19" i="12"/>
  <c r="AC19" i="12"/>
  <c r="J19" i="12"/>
  <c r="R19" i="12"/>
  <c r="Z19" i="12"/>
  <c r="G19" i="12"/>
  <c r="O19" i="12"/>
  <c r="W19" i="12"/>
  <c r="A19" i="12"/>
  <c r="I19" i="12"/>
  <c r="Q19" i="12"/>
  <c r="Y19" i="12"/>
  <c r="B19" i="12"/>
  <c r="F19" i="12"/>
  <c r="L19" i="12"/>
  <c r="P19" i="12"/>
  <c r="T19" i="12"/>
  <c r="X19" i="12"/>
  <c r="F13" i="12"/>
  <c r="V17" i="12"/>
  <c r="L18" i="12"/>
  <c r="AB35" i="12"/>
  <c r="Z35" i="12"/>
  <c r="X35" i="12"/>
  <c r="AC35" i="12"/>
  <c r="AA35" i="12"/>
  <c r="Y35" i="12"/>
  <c r="AB32" i="12"/>
  <c r="Z32" i="12"/>
  <c r="AC32" i="12"/>
  <c r="Y32" i="12"/>
  <c r="AB37" i="12"/>
  <c r="Z37" i="12"/>
  <c r="X37" i="12"/>
  <c r="AC37" i="12"/>
  <c r="AA37" i="12"/>
  <c r="Y37" i="12"/>
  <c r="AB38" i="12"/>
  <c r="Z38" i="12"/>
  <c r="X38" i="12"/>
  <c r="AC38" i="12"/>
  <c r="AA38" i="12"/>
  <c r="Y38" i="12"/>
  <c r="AB34" i="12"/>
  <c r="Z34" i="12"/>
  <c r="X34" i="12"/>
  <c r="AC34" i="12"/>
  <c r="AA34" i="12"/>
  <c r="Y34" i="12"/>
  <c r="D38" i="12"/>
  <c r="T38" i="12"/>
  <c r="B38" i="12"/>
  <c r="J38" i="12"/>
  <c r="R38" i="12"/>
  <c r="A38" i="12"/>
  <c r="E38" i="12"/>
  <c r="I38" i="12"/>
  <c r="M38" i="12"/>
  <c r="Q38" i="12"/>
  <c r="U38" i="12"/>
  <c r="I37" i="12"/>
  <c r="G37" i="12"/>
  <c r="W37" i="12"/>
  <c r="F37" i="12"/>
  <c r="P37" i="12"/>
  <c r="E32" i="12"/>
  <c r="C32" i="12"/>
  <c r="S32" i="12"/>
  <c r="D32" i="12"/>
  <c r="P32" i="12"/>
  <c r="AB36" i="12"/>
  <c r="Z36" i="12"/>
  <c r="X36" i="12"/>
  <c r="AC36" i="12"/>
  <c r="AA36" i="12"/>
  <c r="Y36" i="12"/>
  <c r="AB33" i="12"/>
  <c r="Z33" i="12"/>
  <c r="X33" i="12"/>
  <c r="L33" i="12" s="1"/>
  <c r="AC33" i="12"/>
  <c r="AA33" i="12"/>
  <c r="M33" i="12" s="1"/>
  <c r="Y33" i="12"/>
  <c r="Y14" i="12"/>
  <c r="C17" i="12"/>
  <c r="X14" i="12"/>
  <c r="Q13" i="12"/>
  <c r="A17" i="12"/>
  <c r="D17" i="12"/>
  <c r="D14" i="12"/>
  <c r="M14" i="12"/>
  <c r="E13" i="12"/>
  <c r="Y13" i="12"/>
  <c r="T13" i="12"/>
  <c r="Q17" i="12"/>
  <c r="S17" i="12"/>
  <c r="N17" i="12"/>
  <c r="M15" i="12"/>
  <c r="C33" i="12"/>
  <c r="V12" i="12"/>
  <c r="Z15" i="12"/>
  <c r="I12" i="12"/>
  <c r="I18" i="12"/>
  <c r="T16" i="12"/>
  <c r="K15" i="12"/>
  <c r="J15" i="12"/>
  <c r="N12" i="12"/>
  <c r="A12" i="12"/>
  <c r="U12" i="12"/>
  <c r="N18" i="12"/>
  <c r="Y18" i="12"/>
  <c r="J16" i="12"/>
  <c r="K16" i="12"/>
  <c r="AA15" i="12"/>
  <c r="AC15" i="12"/>
  <c r="R15" i="12"/>
  <c r="D12" i="12"/>
  <c r="R12" i="12"/>
  <c r="E12" i="12"/>
  <c r="Q12" i="12"/>
  <c r="AB18" i="12"/>
  <c r="A18" i="12"/>
  <c r="Q18" i="12"/>
  <c r="Z16" i="12"/>
  <c r="C16" i="12"/>
  <c r="S16" i="12"/>
  <c r="J36" i="12"/>
  <c r="O36" i="12"/>
  <c r="B33" i="12"/>
  <c r="S33" i="12"/>
  <c r="F36" i="12"/>
  <c r="L36" i="12"/>
  <c r="G36" i="12"/>
  <c r="W36" i="12"/>
  <c r="P33" i="12"/>
  <c r="R33" i="12"/>
  <c r="K33" i="12"/>
  <c r="C15" i="12"/>
  <c r="S15" i="12"/>
  <c r="E15" i="12"/>
  <c r="U15" i="12"/>
  <c r="D15" i="12"/>
  <c r="N15" i="12"/>
  <c r="V15" i="12"/>
  <c r="B12" i="12"/>
  <c r="F12" i="12"/>
  <c r="P12" i="12"/>
  <c r="T12" i="12"/>
  <c r="Z12" i="12"/>
  <c r="H3" i="12"/>
  <c r="C12" i="12"/>
  <c r="G12" i="12"/>
  <c r="O12" i="12"/>
  <c r="S12" i="12"/>
  <c r="W12" i="12"/>
  <c r="T18" i="12"/>
  <c r="F18" i="12"/>
  <c r="V18" i="12"/>
  <c r="E18" i="12"/>
  <c r="M18" i="12"/>
  <c r="U18" i="12"/>
  <c r="AC18" i="12"/>
  <c r="B16" i="12"/>
  <c r="R16" i="12"/>
  <c r="L16" i="12"/>
  <c r="AB16" i="12"/>
  <c r="G16" i="12"/>
  <c r="O16" i="12"/>
  <c r="W16" i="12"/>
  <c r="V36" i="12"/>
  <c r="T36" i="12"/>
  <c r="C36" i="12"/>
  <c r="K36" i="12"/>
  <c r="S36" i="12"/>
  <c r="D33" i="12"/>
  <c r="J33" i="12"/>
  <c r="G33" i="12"/>
  <c r="O33" i="12"/>
  <c r="W33" i="12"/>
  <c r="N14" i="12"/>
  <c r="E14" i="12"/>
  <c r="V14" i="12"/>
  <c r="A13" i="12"/>
  <c r="I13" i="12"/>
  <c r="U13" i="12"/>
  <c r="B13" i="12"/>
  <c r="P13" i="12"/>
  <c r="Z13" i="12"/>
  <c r="I17" i="12"/>
  <c r="Y17" i="12"/>
  <c r="K17" i="12"/>
  <c r="AA17" i="12"/>
  <c r="J17" i="12"/>
  <c r="R17" i="12"/>
  <c r="Z17" i="12"/>
  <c r="J14" i="12"/>
  <c r="R14" i="12"/>
  <c r="A14" i="12"/>
  <c r="I14" i="12"/>
  <c r="Q14" i="12"/>
  <c r="U14" i="12"/>
  <c r="C13" i="12"/>
  <c r="G13" i="12"/>
  <c r="O13" i="12"/>
  <c r="S13" i="12"/>
  <c r="W13" i="12"/>
  <c r="AC13" i="12"/>
  <c r="D13" i="12"/>
  <c r="N13" i="12"/>
  <c r="R13" i="12"/>
  <c r="V13" i="12"/>
  <c r="E17" i="12"/>
  <c r="M17" i="12"/>
  <c r="U17" i="12"/>
  <c r="AC17" i="12"/>
  <c r="G17" i="12"/>
  <c r="O17" i="12"/>
  <c r="W17" i="12"/>
  <c r="B17" i="12"/>
  <c r="F17" i="12"/>
  <c r="L17" i="12"/>
  <c r="P17" i="12"/>
  <c r="T17" i="12"/>
  <c r="X17" i="12"/>
  <c r="AA16" i="12"/>
  <c r="G15" i="12"/>
  <c r="O15" i="12"/>
  <c r="W15" i="12"/>
  <c r="A15" i="12"/>
  <c r="I15" i="12"/>
  <c r="Q15" i="12"/>
  <c r="Y15" i="12"/>
  <c r="B15" i="12"/>
  <c r="F15" i="12"/>
  <c r="L15" i="12"/>
  <c r="P15" i="12"/>
  <c r="T15" i="12"/>
  <c r="X15" i="12"/>
  <c r="D18" i="12"/>
  <c r="P18" i="12"/>
  <c r="X18" i="12"/>
  <c r="B18" i="12"/>
  <c r="J18" i="12"/>
  <c r="R18" i="12"/>
  <c r="Z18" i="12"/>
  <c r="C18" i="12"/>
  <c r="G18" i="12"/>
  <c r="K18" i="12"/>
  <c r="O18" i="12"/>
  <c r="S18" i="12"/>
  <c r="W18" i="12"/>
  <c r="F16" i="12"/>
  <c r="N16" i="12"/>
  <c r="V16" i="12"/>
  <c r="D16" i="12"/>
  <c r="P16" i="12"/>
  <c r="X16" i="12"/>
  <c r="A16" i="12"/>
  <c r="E16" i="12"/>
  <c r="I16" i="12"/>
  <c r="M16" i="12"/>
  <c r="Q16" i="12"/>
  <c r="U16" i="12"/>
  <c r="Y16" i="12"/>
  <c r="I3" i="12"/>
  <c r="A37" i="12"/>
  <c r="Q37" i="12"/>
  <c r="E37" i="12"/>
  <c r="U37" i="12"/>
  <c r="C37" i="12"/>
  <c r="K37" i="12"/>
  <c r="S37" i="12"/>
  <c r="D37" i="12"/>
  <c r="J37" i="12"/>
  <c r="N37" i="12"/>
  <c r="R37" i="12"/>
  <c r="V37" i="12"/>
  <c r="A32" i="12"/>
  <c r="I32" i="12"/>
  <c r="U32" i="12"/>
  <c r="G32" i="12"/>
  <c r="O32" i="12"/>
  <c r="W32" i="12"/>
  <c r="B32" i="12"/>
  <c r="F32" i="12"/>
  <c r="N32" i="12"/>
  <c r="R32" i="12"/>
  <c r="V32" i="12"/>
  <c r="B14" i="12"/>
  <c r="F14" i="12"/>
  <c r="L14" i="12"/>
  <c r="P14" i="12"/>
  <c r="T14" i="12"/>
  <c r="AB14" i="12"/>
  <c r="C14" i="12"/>
  <c r="G14" i="12"/>
  <c r="K14" i="12"/>
  <c r="O14" i="12"/>
  <c r="S14" i="12"/>
  <c r="Z14" i="12"/>
  <c r="W14" i="12"/>
  <c r="AA14" i="12"/>
  <c r="N36" i="12"/>
  <c r="B36" i="12"/>
  <c r="R36" i="12"/>
  <c r="D36" i="12"/>
  <c r="P36" i="12"/>
  <c r="A36" i="12"/>
  <c r="E36" i="12"/>
  <c r="I36" i="12"/>
  <c r="M36" i="12"/>
  <c r="Q36" i="12"/>
  <c r="U36" i="12"/>
  <c r="T33" i="12"/>
  <c r="F33" i="12"/>
  <c r="N33" i="12"/>
  <c r="V33" i="12"/>
  <c r="A33" i="12"/>
  <c r="E33" i="12"/>
  <c r="I33" i="12"/>
  <c r="Q33" i="12"/>
  <c r="U33" i="12"/>
  <c r="V35" i="12"/>
  <c r="T35" i="12"/>
  <c r="R35" i="12"/>
  <c r="P35" i="12"/>
  <c r="N35" i="12"/>
  <c r="L35" i="12"/>
  <c r="J35" i="12"/>
  <c r="F35" i="12"/>
  <c r="D35" i="12"/>
  <c r="B35" i="12"/>
  <c r="U35" i="12"/>
  <c r="Q35" i="12"/>
  <c r="M35" i="12"/>
  <c r="I35" i="12"/>
  <c r="E35" i="12"/>
  <c r="A35" i="12"/>
  <c r="W35" i="12"/>
  <c r="O35" i="12"/>
  <c r="G35" i="12"/>
  <c r="S35" i="12"/>
  <c r="K35" i="12"/>
  <c r="C35" i="12"/>
  <c r="W34" i="12"/>
  <c r="U34" i="12"/>
  <c r="S34" i="12"/>
  <c r="Q34" i="12"/>
  <c r="O34" i="12"/>
  <c r="V34" i="12"/>
  <c r="R34" i="12"/>
  <c r="N34" i="12"/>
  <c r="L34" i="12"/>
  <c r="J34" i="12"/>
  <c r="F34" i="12"/>
  <c r="D34" i="12"/>
  <c r="B34" i="12"/>
  <c r="T34" i="12"/>
  <c r="M34" i="12"/>
  <c r="I34" i="12"/>
  <c r="E34" i="12"/>
  <c r="A34" i="12"/>
  <c r="P34" i="12"/>
  <c r="K34" i="12"/>
  <c r="G34" i="12"/>
  <c r="C34" i="12"/>
  <c r="O23" i="34"/>
  <c r="P23" i="34" s="1"/>
  <c r="L23" i="34"/>
  <c r="O21" i="34"/>
  <c r="L21" i="34"/>
  <c r="O19" i="34"/>
  <c r="P19" i="34" s="1"/>
  <c r="L19" i="34"/>
  <c r="O17" i="34"/>
  <c r="O15" i="34"/>
  <c r="L15" i="34"/>
  <c r="O13" i="34"/>
  <c r="L13" i="34"/>
  <c r="O11" i="34"/>
  <c r="F34" i="31" l="1"/>
  <c r="F30" i="28"/>
  <c r="H28" i="32"/>
  <c r="C50" i="12"/>
  <c r="C51" i="12"/>
  <c r="W34" i="31"/>
  <c r="T30" i="28"/>
  <c r="Q30" i="28"/>
  <c r="U28" i="32"/>
  <c r="R34" i="31"/>
  <c r="X28" i="32"/>
  <c r="P13" i="34"/>
  <c r="P15" i="34"/>
  <c r="P21" i="34"/>
  <c r="Q21" i="8" l="1"/>
  <c r="Q19" i="8"/>
  <c r="Q17" i="8"/>
  <c r="Q15" i="8"/>
  <c r="AH1" i="4" l="1"/>
  <c r="I33" i="32" l="1"/>
  <c r="AM31" i="32"/>
  <c r="B36" i="32" l="1"/>
  <c r="C9" i="32" l="1"/>
  <c r="C18" i="32"/>
  <c r="H25" i="32"/>
  <c r="AB5" i="32"/>
  <c r="M14" i="31" l="1"/>
  <c r="X18" i="32" s="1"/>
  <c r="AH2" i="21"/>
  <c r="L20" i="21"/>
  <c r="B34" i="31" l="1"/>
  <c r="B30" i="28"/>
  <c r="F31" i="31"/>
  <c r="B31" i="31"/>
  <c r="X28" i="31"/>
  <c r="I28" i="31"/>
  <c r="X26" i="31"/>
  <c r="I26" i="31"/>
  <c r="B26" i="31"/>
  <c r="X24" i="31"/>
  <c r="I24" i="31"/>
  <c r="B24" i="31"/>
  <c r="F23" i="31"/>
  <c r="G22" i="31"/>
  <c r="B22" i="31"/>
  <c r="B8" i="32"/>
  <c r="B20" i="31"/>
  <c r="AI2" i="31"/>
  <c r="E21" i="4" l="1"/>
  <c r="B36" i="28" l="1"/>
  <c r="A16" i="20"/>
  <c r="A14" i="20"/>
  <c r="A12" i="20"/>
  <c r="A10" i="20"/>
  <c r="A16" i="25"/>
  <c r="A14" i="25"/>
  <c r="A12" i="25"/>
  <c r="A11" i="25"/>
  <c r="A16" i="21"/>
  <c r="A14" i="21"/>
  <c r="A12" i="21"/>
  <c r="A11" i="21"/>
  <c r="B21" i="28"/>
  <c r="B18" i="28"/>
  <c r="W24" i="4"/>
  <c r="H24" i="4"/>
  <c r="S21" i="28"/>
  <c r="H21" i="28"/>
  <c r="B27" i="28"/>
  <c r="A16" i="15"/>
  <c r="A14" i="15"/>
  <c r="A12" i="15"/>
  <c r="A10" i="15"/>
  <c r="W26" i="4" l="1"/>
  <c r="AC2" i="28" l="1"/>
  <c r="H18" i="28"/>
  <c r="V21" i="28"/>
  <c r="F27" i="28"/>
  <c r="AM33" i="32" l="1"/>
  <c r="D2" i="24"/>
  <c r="J3" i="12" l="1"/>
  <c r="E51" i="12" s="1"/>
  <c r="W21" i="8"/>
  <c r="W21" i="24"/>
  <c r="W15" i="24"/>
  <c r="W16" i="24" s="1"/>
  <c r="V15" i="24"/>
  <c r="V16" i="24" s="1"/>
  <c r="W15" i="8"/>
  <c r="V15" i="8"/>
  <c r="AV39" i="16"/>
  <c r="X20" i="24"/>
  <c r="W20" i="24"/>
  <c r="V20" i="24"/>
  <c r="V21" i="24" s="1"/>
  <c r="W20" i="8"/>
  <c r="V20" i="8"/>
  <c r="V21" i="8" s="1"/>
  <c r="X20" i="8"/>
  <c r="J13" i="12" l="1"/>
  <c r="J12" i="12"/>
  <c r="A59" i="21"/>
  <c r="A56" i="21"/>
  <c r="C3" i="12" l="1"/>
  <c r="AF2" i="20"/>
  <c r="I14" i="31"/>
  <c r="T18" i="32" s="1"/>
  <c r="H20" i="21"/>
  <c r="AG2" i="16"/>
  <c r="AD2" i="21"/>
  <c r="AD2" i="25"/>
  <c r="H20" i="25"/>
  <c r="H2" i="23"/>
  <c r="M2" i="23"/>
  <c r="K32" i="24" l="1"/>
  <c r="K30" i="24"/>
  <c r="K28" i="24"/>
  <c r="K26" i="24"/>
  <c r="J31" i="24"/>
  <c r="I31" i="24"/>
  <c r="G31" i="24"/>
  <c r="J29" i="24"/>
  <c r="I29" i="24"/>
  <c r="G29" i="24"/>
  <c r="J27" i="24"/>
  <c r="I27" i="24"/>
  <c r="G27" i="24"/>
  <c r="J25" i="24"/>
  <c r="I25" i="24"/>
  <c r="G25" i="24"/>
  <c r="G16" i="23"/>
  <c r="G22" i="23"/>
  <c r="G20" i="23"/>
  <c r="G18" i="23"/>
  <c r="K26" i="8"/>
  <c r="F22" i="23"/>
  <c r="E22" i="23"/>
  <c r="D22" i="23"/>
  <c r="F20" i="23"/>
  <c r="E20" i="23"/>
  <c r="D20" i="23"/>
  <c r="F18" i="23"/>
  <c r="E18" i="23"/>
  <c r="D18" i="23"/>
  <c r="F16" i="23"/>
  <c r="E16" i="23"/>
  <c r="D16" i="23"/>
  <c r="K32" i="8"/>
  <c r="K30" i="8"/>
  <c r="K28" i="8"/>
  <c r="J31" i="8"/>
  <c r="I31" i="8"/>
  <c r="G31" i="8"/>
  <c r="J29" i="8"/>
  <c r="I29" i="8"/>
  <c r="G29" i="8"/>
  <c r="J27" i="8"/>
  <c r="I27" i="8"/>
  <c r="G27" i="8"/>
  <c r="J25" i="8"/>
  <c r="I25" i="8"/>
  <c r="G25" i="8"/>
  <c r="F22" i="11"/>
  <c r="G22" i="11"/>
  <c r="G20" i="11"/>
  <c r="G18" i="11"/>
  <c r="G16" i="11"/>
  <c r="E22" i="11"/>
  <c r="D22" i="11"/>
  <c r="F20" i="11"/>
  <c r="E20" i="11"/>
  <c r="D20" i="11"/>
  <c r="F18" i="11"/>
  <c r="E18" i="11"/>
  <c r="D18" i="11"/>
  <c r="F16" i="11"/>
  <c r="E16" i="11"/>
  <c r="D16" i="11"/>
  <c r="G2" i="23" l="1"/>
  <c r="N2" i="23"/>
  <c r="L20" i="25"/>
  <c r="AH2" i="15"/>
  <c r="AE2" i="15"/>
  <c r="AB2" i="15"/>
  <c r="L83" i="25" l="1"/>
  <c r="A83" i="25"/>
  <c r="W18" i="25"/>
  <c r="H18" i="25"/>
  <c r="W17" i="25"/>
  <c r="H17" i="25"/>
  <c r="H16" i="25"/>
  <c r="W15" i="25"/>
  <c r="H15" i="25"/>
  <c r="E13" i="25"/>
  <c r="F12" i="25"/>
  <c r="E11" i="25"/>
  <c r="AE23" i="15" l="1"/>
  <c r="AG23" i="15"/>
  <c r="AE25" i="15"/>
  <c r="AG25" i="15"/>
  <c r="AE27" i="15"/>
  <c r="AG27" i="15"/>
  <c r="AE29" i="15"/>
  <c r="AG29" i="15"/>
  <c r="AE31" i="15"/>
  <c r="AG31" i="15"/>
  <c r="AE33" i="15"/>
  <c r="AG33" i="15"/>
  <c r="AE35" i="15"/>
  <c r="AG35" i="15"/>
  <c r="AE37" i="15"/>
  <c r="AG37" i="15"/>
  <c r="AE39" i="15"/>
  <c r="AG39" i="15"/>
  <c r="AE41" i="15"/>
  <c r="AG41" i="15"/>
  <c r="AE43" i="15"/>
  <c r="AG43" i="15"/>
  <c r="AE45" i="15"/>
  <c r="AG45" i="15"/>
  <c r="AE47" i="15"/>
  <c r="AG47" i="15"/>
  <c r="AE49" i="15"/>
  <c r="AG49" i="15"/>
  <c r="AE51" i="15"/>
  <c r="AG51" i="15"/>
  <c r="AG53" i="15" l="1"/>
  <c r="O23" i="12"/>
  <c r="O3" i="12"/>
  <c r="H32" i="34"/>
  <c r="P32" i="34" s="1"/>
  <c r="J2" i="24"/>
  <c r="X30" i="8" l="1"/>
  <c r="X25" i="8"/>
  <c r="X30" i="24"/>
  <c r="X25" i="24"/>
  <c r="W18" i="21" l="1"/>
  <c r="H18" i="21"/>
  <c r="W17" i="21"/>
  <c r="S23" i="12" s="1"/>
  <c r="W23" i="12" s="1"/>
  <c r="H17" i="21"/>
  <c r="T23" i="12" s="1"/>
  <c r="H16" i="21"/>
  <c r="W15" i="21"/>
  <c r="H15" i="21"/>
  <c r="E13" i="21"/>
  <c r="R23" i="12" s="1"/>
  <c r="V23" i="12" s="1"/>
  <c r="F12" i="21"/>
  <c r="Q23" i="12" s="1"/>
  <c r="U23" i="12" s="1"/>
  <c r="X40" i="24" l="1"/>
  <c r="X41" i="24" s="1"/>
  <c r="W40" i="24"/>
  <c r="W41" i="24" s="1"/>
  <c r="V40" i="24"/>
  <c r="V41" i="24" s="1"/>
  <c r="T40" i="24"/>
  <c r="S40" i="24"/>
  <c r="X35" i="24"/>
  <c r="X36" i="24" s="1"/>
  <c r="W35" i="24"/>
  <c r="W36" i="24" s="1"/>
  <c r="V35" i="24"/>
  <c r="T35" i="24"/>
  <c r="S35" i="24"/>
  <c r="X31" i="24"/>
  <c r="W30" i="24"/>
  <c r="W31" i="24" s="1"/>
  <c r="V30" i="24"/>
  <c r="V31" i="24" s="1"/>
  <c r="AV38" i="16" s="1"/>
  <c r="T30" i="24"/>
  <c r="S30" i="24"/>
  <c r="W25" i="24"/>
  <c r="W26" i="24" s="1"/>
  <c r="V25" i="24"/>
  <c r="T25" i="24"/>
  <c r="S25" i="24"/>
  <c r="U20" i="24"/>
  <c r="S20" i="24"/>
  <c r="S15" i="24"/>
  <c r="J2" i="8" l="1"/>
  <c r="N30" i="21"/>
  <c r="AA29" i="21"/>
  <c r="N29" i="21"/>
  <c r="P31" i="23"/>
  <c r="G31" i="23"/>
  <c r="P27" i="23"/>
  <c r="G27" i="23"/>
  <c r="P25" i="23"/>
  <c r="G25" i="23"/>
  <c r="K42" i="24"/>
  <c r="K40" i="24"/>
  <c r="K38" i="24"/>
  <c r="K36" i="24"/>
  <c r="J41" i="24"/>
  <c r="J39" i="24"/>
  <c r="J40" i="24" s="1"/>
  <c r="F29" i="23" s="1"/>
  <c r="J37" i="24"/>
  <c r="J35" i="24"/>
  <c r="I41" i="24"/>
  <c r="I39" i="24"/>
  <c r="I40" i="24" s="1"/>
  <c r="E29" i="23" s="1"/>
  <c r="I37" i="24"/>
  <c r="I35" i="24"/>
  <c r="G41" i="24"/>
  <c r="G39" i="24"/>
  <c r="G40" i="24" s="1"/>
  <c r="D29" i="23" s="1"/>
  <c r="G37" i="24"/>
  <c r="G35" i="24"/>
  <c r="G44" i="24"/>
  <c r="J21" i="24"/>
  <c r="P21" i="24" s="1"/>
  <c r="J19" i="24"/>
  <c r="P19" i="24" s="1"/>
  <c r="J17" i="24"/>
  <c r="P17" i="24" s="1"/>
  <c r="I21" i="24"/>
  <c r="O21" i="24" s="1"/>
  <c r="I19" i="24"/>
  <c r="O19" i="24" s="1"/>
  <c r="I17" i="24"/>
  <c r="O17" i="24" s="1"/>
  <c r="M21" i="24"/>
  <c r="G19" i="24"/>
  <c r="M19" i="24" s="1"/>
  <c r="G17" i="24"/>
  <c r="M17" i="24" s="1"/>
  <c r="F21" i="24"/>
  <c r="B21" i="24"/>
  <c r="F19" i="24"/>
  <c r="B19" i="24"/>
  <c r="F17" i="24"/>
  <c r="B17" i="24"/>
  <c r="B15" i="24"/>
  <c r="X21" i="24" s="1"/>
  <c r="J42" i="24"/>
  <c r="F31" i="23" s="1"/>
  <c r="I42" i="24"/>
  <c r="E31" i="23" s="1"/>
  <c r="G42" i="24"/>
  <c r="D31" i="23" s="1"/>
  <c r="J38" i="24"/>
  <c r="F27" i="23" s="1"/>
  <c r="I38" i="24"/>
  <c r="E27" i="23" s="1"/>
  <c r="G38" i="24"/>
  <c r="D27" i="23" s="1"/>
  <c r="Q32" i="24"/>
  <c r="J32" i="24"/>
  <c r="I32" i="24"/>
  <c r="G32" i="24"/>
  <c r="Q30" i="24"/>
  <c r="J30" i="24"/>
  <c r="I30" i="24"/>
  <c r="G30" i="24"/>
  <c r="Q28" i="24"/>
  <c r="J28" i="24"/>
  <c r="I28" i="24"/>
  <c r="G28" i="24"/>
  <c r="Q26" i="24"/>
  <c r="K22" i="24"/>
  <c r="I22" i="24"/>
  <c r="K20" i="24"/>
  <c r="J20" i="24"/>
  <c r="G20" i="24"/>
  <c r="K18" i="24"/>
  <c r="I18" i="24"/>
  <c r="K16" i="24"/>
  <c r="G2" i="24"/>
  <c r="G30" i="23"/>
  <c r="B30" i="23"/>
  <c r="C30" i="23" s="1"/>
  <c r="G28" i="23"/>
  <c r="G29" i="23" s="1"/>
  <c r="B28" i="23"/>
  <c r="C28" i="23" s="1"/>
  <c r="I20" i="24" l="1"/>
  <c r="G18" i="24"/>
  <c r="J18" i="24"/>
  <c r="G22" i="24"/>
  <c r="J22" i="24"/>
  <c r="K16" i="8"/>
  <c r="G9" i="34" s="1"/>
  <c r="G33" i="34" s="1"/>
  <c r="X15" i="24"/>
  <c r="G15" i="24"/>
  <c r="V26" i="24"/>
  <c r="V36" i="24"/>
  <c r="X26" i="24"/>
  <c r="J26" i="24"/>
  <c r="J36" i="24"/>
  <c r="F25" i="23" s="1"/>
  <c r="K2" i="24"/>
  <c r="U15" i="24"/>
  <c r="I26" i="24"/>
  <c r="I36" i="24"/>
  <c r="E25" i="23" s="1"/>
  <c r="G26" i="24"/>
  <c r="G36" i="24"/>
  <c r="D25" i="23" s="1"/>
  <c r="F15" i="24"/>
  <c r="I15" i="24"/>
  <c r="J15" i="24"/>
  <c r="Q16" i="24"/>
  <c r="M18" i="24"/>
  <c r="O18" i="24"/>
  <c r="P18" i="24"/>
  <c r="Q18" i="24"/>
  <c r="M20" i="24"/>
  <c r="O20" i="24"/>
  <c r="P20" i="24"/>
  <c r="Q20" i="24"/>
  <c r="M22" i="24"/>
  <c r="O22" i="24"/>
  <c r="P22" i="24"/>
  <c r="Q22" i="24"/>
  <c r="M25" i="24"/>
  <c r="M26" i="24" s="1"/>
  <c r="O25" i="24"/>
  <c r="O26" i="24" s="1"/>
  <c r="P25" i="24"/>
  <c r="P26" i="24" s="1"/>
  <c r="M27" i="24"/>
  <c r="M28" i="24" s="1"/>
  <c r="O27" i="24"/>
  <c r="O28" i="24" s="1"/>
  <c r="P27" i="24"/>
  <c r="P28" i="24" s="1"/>
  <c r="M29" i="24"/>
  <c r="M30" i="24" s="1"/>
  <c r="O29" i="24"/>
  <c r="O30" i="24" s="1"/>
  <c r="P29" i="24"/>
  <c r="P30" i="24" s="1"/>
  <c r="M31" i="24"/>
  <c r="M32" i="24" s="1"/>
  <c r="O31" i="24"/>
  <c r="O32" i="24" s="1"/>
  <c r="P31" i="24"/>
  <c r="P32" i="24" s="1"/>
  <c r="M35" i="24"/>
  <c r="M36" i="24" s="1"/>
  <c r="M25" i="23" s="1"/>
  <c r="O35" i="24"/>
  <c r="O36" i="24" s="1"/>
  <c r="N25" i="23" s="1"/>
  <c r="P35" i="24"/>
  <c r="P36" i="24" s="1"/>
  <c r="O25" i="23" s="1"/>
  <c r="M37" i="24"/>
  <c r="M38" i="24" s="1"/>
  <c r="M27" i="23" s="1"/>
  <c r="O37" i="24"/>
  <c r="O38" i="24" s="1"/>
  <c r="N27" i="23" s="1"/>
  <c r="P37" i="24"/>
  <c r="P38" i="24" s="1"/>
  <c r="O27" i="23" s="1"/>
  <c r="O39" i="24"/>
  <c r="P39" i="24"/>
  <c r="P40" i="24" s="1"/>
  <c r="O29" i="23" s="1"/>
  <c r="M41" i="24"/>
  <c r="M42" i="24" s="1"/>
  <c r="M31" i="23" s="1"/>
  <c r="O41" i="24"/>
  <c r="O42" i="24" s="1"/>
  <c r="N31" i="23" s="1"/>
  <c r="P41" i="24"/>
  <c r="P42" i="24" s="1"/>
  <c r="O31" i="23" s="1"/>
  <c r="G26" i="23"/>
  <c r="P26" i="23" s="1"/>
  <c r="B26" i="23"/>
  <c r="C26" i="23" s="1"/>
  <c r="G24" i="23"/>
  <c r="B24" i="23"/>
  <c r="C24" i="23" s="1"/>
  <c r="F23" i="23"/>
  <c r="E23" i="23"/>
  <c r="B22" i="23"/>
  <c r="C22" i="23" s="1"/>
  <c r="F21" i="23"/>
  <c r="E21" i="23"/>
  <c r="B20" i="23"/>
  <c r="C20" i="23" s="1"/>
  <c r="F19" i="23"/>
  <c r="E19" i="23"/>
  <c r="B18" i="23"/>
  <c r="C18" i="23" s="1"/>
  <c r="F17" i="23"/>
  <c r="E17" i="23"/>
  <c r="B16" i="23"/>
  <c r="C16" i="23" s="1"/>
  <c r="G14" i="23"/>
  <c r="P14" i="23" s="1"/>
  <c r="F14" i="23"/>
  <c r="F15" i="23" s="1"/>
  <c r="E14" i="23"/>
  <c r="E15" i="23" s="1"/>
  <c r="D14" i="23"/>
  <c r="B14" i="23"/>
  <c r="C14" i="23" s="1"/>
  <c r="G12" i="23"/>
  <c r="P12" i="23" s="1"/>
  <c r="F12" i="23"/>
  <c r="F13" i="23" s="1"/>
  <c r="E12" i="23"/>
  <c r="E13" i="23" s="1"/>
  <c r="D12" i="23"/>
  <c r="B12" i="23"/>
  <c r="C12" i="23" s="1"/>
  <c r="G10" i="23"/>
  <c r="P10" i="23" s="1"/>
  <c r="F10" i="23"/>
  <c r="F11" i="23" s="1"/>
  <c r="E10" i="23"/>
  <c r="E11" i="23" s="1"/>
  <c r="D10" i="23"/>
  <c r="B10" i="23"/>
  <c r="C10" i="23" s="1"/>
  <c r="B8" i="23"/>
  <c r="C8" i="23" s="1"/>
  <c r="D8" i="23"/>
  <c r="G8" i="23"/>
  <c r="F8" i="23"/>
  <c r="E8" i="23"/>
  <c r="H32" i="23"/>
  <c r="Q32" i="23" s="1"/>
  <c r="P30" i="23"/>
  <c r="P28" i="23"/>
  <c r="P29" i="23" s="1"/>
  <c r="P24" i="23"/>
  <c r="P22" i="23"/>
  <c r="P20" i="23"/>
  <c r="P18" i="23"/>
  <c r="P16" i="23"/>
  <c r="P8" i="23"/>
  <c r="A5" i="23"/>
  <c r="Q31" i="23" l="1"/>
  <c r="AC31" i="12" s="1"/>
  <c r="Q27" i="23"/>
  <c r="AC29" i="12" s="1"/>
  <c r="Q25" i="23"/>
  <c r="AC28" i="12" s="1"/>
  <c r="X16" i="24"/>
  <c r="G9" i="23"/>
  <c r="G11" i="23"/>
  <c r="D11" i="23"/>
  <c r="G13" i="23"/>
  <c r="D13" i="23"/>
  <c r="G15" i="23"/>
  <c r="D15" i="23"/>
  <c r="G19" i="23"/>
  <c r="D19" i="23"/>
  <c r="G21" i="23"/>
  <c r="D21" i="23"/>
  <c r="G23" i="23"/>
  <c r="D23" i="23"/>
  <c r="P15" i="24"/>
  <c r="P16" i="24" s="1"/>
  <c r="J16" i="24"/>
  <c r="F9" i="23" s="1"/>
  <c r="O15" i="24"/>
  <c r="O16" i="24" s="1"/>
  <c r="I16" i="24"/>
  <c r="E9" i="23" s="1"/>
  <c r="M15" i="24"/>
  <c r="G16" i="24"/>
  <c r="D9" i="23" s="1"/>
  <c r="G17" i="23"/>
  <c r="D17" i="23"/>
  <c r="O40" i="24"/>
  <c r="N29" i="23" s="1"/>
  <c r="M39" i="24"/>
  <c r="M40" i="24" s="1"/>
  <c r="M29" i="23" s="1"/>
  <c r="M8" i="23"/>
  <c r="P9" i="23" s="1"/>
  <c r="AA23" i="12" s="1"/>
  <c r="N8" i="23"/>
  <c r="N9" i="23" s="1"/>
  <c r="O8" i="23"/>
  <c r="M10" i="23"/>
  <c r="N10" i="23"/>
  <c r="N11" i="23" s="1"/>
  <c r="O10" i="23"/>
  <c r="O11" i="23" s="1"/>
  <c r="M12" i="23"/>
  <c r="N12" i="23"/>
  <c r="N13" i="23" s="1"/>
  <c r="O12" i="23"/>
  <c r="O13" i="23" s="1"/>
  <c r="M14" i="23"/>
  <c r="N14" i="23"/>
  <c r="N15" i="23" s="1"/>
  <c r="O14" i="23"/>
  <c r="O15" i="23" s="1"/>
  <c r="M16" i="23"/>
  <c r="N16" i="23"/>
  <c r="N17" i="23" s="1"/>
  <c r="O16" i="23"/>
  <c r="O17" i="23" s="1"/>
  <c r="M18" i="23"/>
  <c r="N18" i="23"/>
  <c r="N19" i="23" s="1"/>
  <c r="O18" i="23"/>
  <c r="O19" i="23" s="1"/>
  <c r="M20" i="23"/>
  <c r="N20" i="23"/>
  <c r="N21" i="23" s="1"/>
  <c r="O20" i="23"/>
  <c r="O21" i="23" s="1"/>
  <c r="M22" i="23"/>
  <c r="N22" i="23"/>
  <c r="N23" i="23" s="1"/>
  <c r="O22" i="23"/>
  <c r="O23" i="23" s="1"/>
  <c r="Q29" i="23" l="1"/>
  <c r="AC30" i="12" s="1"/>
  <c r="H17" i="23"/>
  <c r="Y28" i="12" s="1"/>
  <c r="H23" i="23"/>
  <c r="Y31" i="12" s="1"/>
  <c r="H21" i="23"/>
  <c r="Y30" i="12" s="1"/>
  <c r="H19" i="23"/>
  <c r="Y29" i="12" s="1"/>
  <c r="H15" i="23"/>
  <c r="X27" i="12" s="1"/>
  <c r="H13" i="23"/>
  <c r="X26" i="12" s="1"/>
  <c r="H11" i="23"/>
  <c r="X25" i="12" s="1"/>
  <c r="G33" i="23"/>
  <c r="M16" i="24"/>
  <c r="P23" i="23"/>
  <c r="M23" i="23"/>
  <c r="Q23" i="23" s="1"/>
  <c r="AB31" i="12" s="1"/>
  <c r="P21" i="23"/>
  <c r="M21" i="23"/>
  <c r="P19" i="23"/>
  <c r="M19" i="23"/>
  <c r="P15" i="23"/>
  <c r="M15" i="23"/>
  <c r="P13" i="23"/>
  <c r="M13" i="23"/>
  <c r="P11" i="23"/>
  <c r="M11" i="23"/>
  <c r="M9" i="23"/>
  <c r="O9" i="23"/>
  <c r="O33" i="23" s="1"/>
  <c r="P17" i="23"/>
  <c r="M17" i="23"/>
  <c r="H9" i="23"/>
  <c r="X24" i="12" s="1"/>
  <c r="X32" i="12" s="1"/>
  <c r="L32" i="12" s="1"/>
  <c r="N33" i="23"/>
  <c r="Q17" i="23" l="1"/>
  <c r="AB28" i="12" s="1"/>
  <c r="Q19" i="23"/>
  <c r="AB29" i="12" s="1"/>
  <c r="Q21" i="23"/>
  <c r="AB30" i="12" s="1"/>
  <c r="Q15" i="23"/>
  <c r="AA27" i="12" s="1"/>
  <c r="Q11" i="23"/>
  <c r="AA25" i="12" s="1"/>
  <c r="Q13" i="23"/>
  <c r="AA26" i="12" s="1"/>
  <c r="P33" i="23"/>
  <c r="Q9" i="23"/>
  <c r="AA24" i="12" s="1"/>
  <c r="AA32" i="12" s="1"/>
  <c r="M32" i="12" s="1"/>
  <c r="M33" i="23"/>
  <c r="Q36" i="23" l="1"/>
  <c r="Q33" i="23"/>
  <c r="W39" i="20" l="1"/>
  <c r="Y39" i="20"/>
  <c r="AT39" i="20" s="1"/>
  <c r="AA39" i="20"/>
  <c r="AV39" i="20" s="1"/>
  <c r="AC39" i="20"/>
  <c r="AX39" i="20" s="1"/>
  <c r="W41" i="20"/>
  <c r="Y41" i="20"/>
  <c r="AT41" i="20" s="1"/>
  <c r="AA41" i="20"/>
  <c r="AV41" i="20" s="1"/>
  <c r="AC41" i="20"/>
  <c r="AX41" i="20" s="1"/>
  <c r="W43" i="20"/>
  <c r="Y43" i="20"/>
  <c r="AT43" i="20" s="1"/>
  <c r="AA43" i="20"/>
  <c r="AV43" i="20" s="1"/>
  <c r="AC43" i="20"/>
  <c r="AX43" i="20" s="1"/>
  <c r="W45" i="20"/>
  <c r="Y45" i="20"/>
  <c r="AT45" i="20" s="1"/>
  <c r="AA45" i="20"/>
  <c r="AV45" i="20" s="1"/>
  <c r="AC45" i="20"/>
  <c r="AX45" i="20" s="1"/>
  <c r="W47" i="20"/>
  <c r="Y47" i="20"/>
  <c r="AT47" i="20" s="1"/>
  <c r="AA47" i="20"/>
  <c r="AV47" i="20" s="1"/>
  <c r="AC47" i="20"/>
  <c r="AX47" i="20" s="1"/>
  <c r="W49" i="20"/>
  <c r="Y49" i="20"/>
  <c r="AT49" i="20" s="1"/>
  <c r="AA49" i="20"/>
  <c r="AV49" i="20" s="1"/>
  <c r="AC49" i="20"/>
  <c r="AX49" i="20" s="1"/>
  <c r="W51" i="20"/>
  <c r="Y51" i="20"/>
  <c r="AT51" i="20" s="1"/>
  <c r="AA51" i="20"/>
  <c r="AV51" i="20" s="1"/>
  <c r="AC51" i="20"/>
  <c r="AX51" i="20" s="1"/>
  <c r="W27" i="20"/>
  <c r="Y27" i="20"/>
  <c r="AT27" i="20" s="1"/>
  <c r="AA27" i="20"/>
  <c r="AV27" i="20" s="1"/>
  <c r="AC27" i="20"/>
  <c r="AX27" i="20" s="1"/>
  <c r="W29" i="20"/>
  <c r="Y29" i="20"/>
  <c r="AT29" i="20" s="1"/>
  <c r="AA29" i="20"/>
  <c r="AV29" i="20" s="1"/>
  <c r="AC29" i="20"/>
  <c r="AX29" i="20" s="1"/>
  <c r="W31" i="20"/>
  <c r="Y31" i="20"/>
  <c r="AT31" i="20" s="1"/>
  <c r="AA31" i="20"/>
  <c r="AV31" i="20" s="1"/>
  <c r="AC31" i="20"/>
  <c r="AX31" i="20" s="1"/>
  <c r="W33" i="20"/>
  <c r="Y33" i="20"/>
  <c r="AT33" i="20" s="1"/>
  <c r="AA33" i="20"/>
  <c r="AV33" i="20" s="1"/>
  <c r="AC33" i="20"/>
  <c r="AX33" i="20" s="1"/>
  <c r="W35" i="20"/>
  <c r="Y35" i="20"/>
  <c r="AT35" i="20" s="1"/>
  <c r="AA35" i="20"/>
  <c r="AV35" i="20" s="1"/>
  <c r="AC35" i="20"/>
  <c r="AX35" i="20" s="1"/>
  <c r="W37" i="20"/>
  <c r="Y37" i="20"/>
  <c r="AT37" i="20" s="1"/>
  <c r="AA37" i="20"/>
  <c r="AV37" i="20" s="1"/>
  <c r="AC37" i="20"/>
  <c r="AX37" i="20" s="1"/>
  <c r="Y25" i="20"/>
  <c r="AT25" i="20" s="1"/>
  <c r="AA25" i="20"/>
  <c r="AV25" i="20" s="1"/>
  <c r="AC25" i="20"/>
  <c r="AX25" i="20" s="1"/>
  <c r="W25" i="20"/>
  <c r="AR25" i="20" s="1"/>
  <c r="AC23" i="20"/>
  <c r="AX23" i="20" s="1"/>
  <c r="AA23" i="20"/>
  <c r="AV23" i="20" s="1"/>
  <c r="AV53" i="20" s="1"/>
  <c r="Y23" i="20"/>
  <c r="AZ25" i="20" l="1"/>
  <c r="AZ41" i="20"/>
  <c r="AT23" i="20"/>
  <c r="AE23" i="20"/>
  <c r="AG23" i="20" s="1"/>
  <c r="AX53" i="20"/>
  <c r="AR37" i="20"/>
  <c r="AZ37" i="20" s="1"/>
  <c r="AE37" i="20"/>
  <c r="AE35" i="20"/>
  <c r="AR35" i="20"/>
  <c r="AZ35" i="20" s="1"/>
  <c r="AE33" i="20"/>
  <c r="AG33" i="20" s="1"/>
  <c r="AR33" i="20"/>
  <c r="AZ33" i="20" s="1"/>
  <c r="AE31" i="20"/>
  <c r="AG31" i="20" s="1"/>
  <c r="AR31" i="20"/>
  <c r="AZ31" i="20" s="1"/>
  <c r="AR29" i="20"/>
  <c r="AZ29" i="20" s="1"/>
  <c r="AE29" i="20"/>
  <c r="AG29" i="20" s="1"/>
  <c r="AE27" i="20"/>
  <c r="AG27" i="20" s="1"/>
  <c r="AR27" i="20"/>
  <c r="AZ27" i="20" s="1"/>
  <c r="AE51" i="20"/>
  <c r="AG51" i="20" s="1"/>
  <c r="AR51" i="20"/>
  <c r="AZ51" i="20" s="1"/>
  <c r="AE49" i="20"/>
  <c r="AG49" i="20" s="1"/>
  <c r="AR49" i="20"/>
  <c r="AZ49" i="20" s="1"/>
  <c r="AE47" i="20"/>
  <c r="AG47" i="20" s="1"/>
  <c r="AR47" i="20"/>
  <c r="AZ47" i="20" s="1"/>
  <c r="AE45" i="20"/>
  <c r="AR45" i="20"/>
  <c r="AZ45" i="20" s="1"/>
  <c r="AE43" i="20"/>
  <c r="AG43" i="20" s="1"/>
  <c r="AR43" i="20"/>
  <c r="AZ43" i="20" s="1"/>
  <c r="AE41" i="20"/>
  <c r="AG41" i="20" s="1"/>
  <c r="AR41" i="20"/>
  <c r="AE39" i="20"/>
  <c r="AG39" i="20" s="1"/>
  <c r="AR39" i="20"/>
  <c r="AZ39" i="20" s="1"/>
  <c r="AE25" i="20"/>
  <c r="AG25" i="20" s="1"/>
  <c r="AG37" i="20"/>
  <c r="AG35" i="20"/>
  <c r="AG45" i="20"/>
  <c r="Q42" i="8"/>
  <c r="Q40" i="8"/>
  <c r="Q38" i="8"/>
  <c r="Q36" i="8"/>
  <c r="V40" i="8"/>
  <c r="V41" i="8" s="1"/>
  <c r="V35" i="8"/>
  <c r="K42" i="8"/>
  <c r="K40" i="8"/>
  <c r="K38" i="8"/>
  <c r="Q32" i="8"/>
  <c r="Q30" i="8"/>
  <c r="Q28" i="8"/>
  <c r="X40" i="8"/>
  <c r="X41" i="8" s="1"/>
  <c r="W40" i="8"/>
  <c r="W41" i="8" s="1"/>
  <c r="S40" i="8"/>
  <c r="X31" i="8"/>
  <c r="W30" i="8"/>
  <c r="W31" i="8" s="1"/>
  <c r="V30" i="8"/>
  <c r="V31" i="8" s="1"/>
  <c r="S30" i="8"/>
  <c r="AR53" i="20" l="1"/>
  <c r="AT53" i="20"/>
  <c r="AZ23" i="20"/>
  <c r="AZ53" i="20" s="1"/>
  <c r="AG53" i="20"/>
  <c r="S20" i="8"/>
  <c r="U20" i="8" s="1"/>
  <c r="S15" i="8"/>
  <c r="X35" i="8" l="1"/>
  <c r="X36" i="8" s="1"/>
  <c r="W35" i="8"/>
  <c r="S35" i="8"/>
  <c r="S25" i="8"/>
  <c r="W25" i="8"/>
  <c r="V25" i="8"/>
  <c r="W18" i="20" l="1"/>
  <c r="H18" i="20"/>
  <c r="H16" i="20"/>
  <c r="W14" i="20"/>
  <c r="H14" i="20"/>
  <c r="E13" i="20"/>
  <c r="F12" i="20"/>
  <c r="E10" i="20"/>
  <c r="A5" i="11"/>
  <c r="G28" i="11" l="1"/>
  <c r="G30" i="11"/>
  <c r="G26" i="11"/>
  <c r="G24" i="11"/>
  <c r="B30" i="11"/>
  <c r="C30" i="11" s="1"/>
  <c r="B28" i="11"/>
  <c r="C28" i="11" s="1"/>
  <c r="B26" i="11"/>
  <c r="C26" i="11" s="1"/>
  <c r="B24" i="11"/>
  <c r="C24" i="11" s="1"/>
  <c r="B22" i="11"/>
  <c r="C22" i="11" s="1"/>
  <c r="B20" i="11"/>
  <c r="C20" i="11" s="1"/>
  <c r="B18" i="11"/>
  <c r="C18" i="11" s="1"/>
  <c r="G14" i="11"/>
  <c r="G12" i="11"/>
  <c r="G10" i="11"/>
  <c r="G8" i="11"/>
  <c r="F14" i="11"/>
  <c r="F12" i="11"/>
  <c r="F10" i="11"/>
  <c r="E14" i="11"/>
  <c r="E12" i="11"/>
  <c r="E10" i="11"/>
  <c r="D14" i="11"/>
  <c r="D12" i="11"/>
  <c r="D10" i="11"/>
  <c r="F8" i="11"/>
  <c r="E8" i="11"/>
  <c r="D8" i="11"/>
  <c r="J41" i="8"/>
  <c r="J42" i="8" s="1"/>
  <c r="F31" i="34" s="1"/>
  <c r="I41" i="8"/>
  <c r="I42" i="8" s="1"/>
  <c r="E31" i="34" s="1"/>
  <c r="G41" i="8"/>
  <c r="G42" i="8" s="1"/>
  <c r="J39" i="8"/>
  <c r="J40" i="8" s="1"/>
  <c r="F29" i="34" s="1"/>
  <c r="I39" i="8"/>
  <c r="I40" i="8" s="1"/>
  <c r="E29" i="34" s="1"/>
  <c r="G39" i="8"/>
  <c r="G40" i="8" s="1"/>
  <c r="J37" i="8"/>
  <c r="J38" i="8" s="1"/>
  <c r="F27" i="34" s="1"/>
  <c r="I37" i="8"/>
  <c r="G37" i="8"/>
  <c r="J35" i="8"/>
  <c r="I35" i="8"/>
  <c r="G35" i="8"/>
  <c r="J32" i="8"/>
  <c r="I32" i="8"/>
  <c r="G32" i="8"/>
  <c r="J30" i="8"/>
  <c r="I30" i="8"/>
  <c r="G30" i="8"/>
  <c r="G44" i="8"/>
  <c r="G54" i="12" s="1"/>
  <c r="G51" i="12" s="1"/>
  <c r="H31" i="23" l="1"/>
  <c r="Z31" i="12" s="1"/>
  <c r="D31" i="34"/>
  <c r="H31" i="34" s="1"/>
  <c r="H29" i="23"/>
  <c r="Z30" i="12" s="1"/>
  <c r="D29" i="34"/>
  <c r="H29" i="34" s="1"/>
  <c r="W27" i="16"/>
  <c r="H27" i="16"/>
  <c r="H25" i="16"/>
  <c r="W23" i="16"/>
  <c r="H23" i="16"/>
  <c r="F21" i="16"/>
  <c r="E19" i="16"/>
  <c r="W18" i="15"/>
  <c r="W16" i="15"/>
  <c r="H18" i="15"/>
  <c r="H16" i="15"/>
  <c r="H14" i="15"/>
  <c r="W14" i="15"/>
  <c r="E13" i="15"/>
  <c r="F12" i="15"/>
  <c r="E10" i="15"/>
  <c r="H32" i="11" l="1"/>
  <c r="P32" i="11" s="1"/>
  <c r="O22" i="11" l="1"/>
  <c r="O20" i="11"/>
  <c r="O18" i="11"/>
  <c r="O16" i="11"/>
  <c r="B16" i="11"/>
  <c r="C16" i="11" s="1"/>
  <c r="O14" i="11"/>
  <c r="N14" i="11"/>
  <c r="B14" i="11"/>
  <c r="C14" i="11" s="1"/>
  <c r="O12" i="11"/>
  <c r="B12" i="11"/>
  <c r="C12" i="11" s="1"/>
  <c r="O10" i="11"/>
  <c r="N10" i="11"/>
  <c r="O28" i="11" l="1"/>
  <c r="O26" i="11"/>
  <c r="N16" i="11"/>
  <c r="O8" i="11"/>
  <c r="N12" i="11"/>
  <c r="N18" i="11"/>
  <c r="N8" i="11"/>
  <c r="L10" i="11"/>
  <c r="L8" i="11"/>
  <c r="L14" i="11"/>
  <c r="M8" i="11"/>
  <c r="M10" i="11"/>
  <c r="L12" i="11"/>
  <c r="L16" i="11"/>
  <c r="L18" i="11"/>
  <c r="L20" i="11"/>
  <c r="N20" i="11"/>
  <c r="L22" i="11"/>
  <c r="N22" i="11"/>
  <c r="M12" i="11"/>
  <c r="M14" i="11"/>
  <c r="M16" i="11"/>
  <c r="M18" i="11"/>
  <c r="M20" i="11"/>
  <c r="M22" i="11"/>
  <c r="O24" i="11"/>
  <c r="O30" i="11"/>
  <c r="P43" i="6"/>
  <c r="E43" i="6"/>
  <c r="P42" i="6"/>
  <c r="E42" i="6"/>
  <c r="P41" i="6"/>
  <c r="E41" i="6"/>
  <c r="P40" i="6"/>
  <c r="E40" i="6"/>
  <c r="P39" i="6"/>
  <c r="E39" i="6"/>
  <c r="P38" i="6"/>
  <c r="E38" i="6"/>
  <c r="P37" i="6"/>
  <c r="E37" i="6"/>
  <c r="P36" i="6"/>
  <c r="E36" i="6"/>
  <c r="M37" i="8"/>
  <c r="M38" i="8" s="1"/>
  <c r="L27" i="34" s="1"/>
  <c r="P25" i="8" l="1"/>
  <c r="P26" i="8" s="1"/>
  <c r="O25" i="8"/>
  <c r="O26" i="8" s="1"/>
  <c r="M25" i="8"/>
  <c r="M26" i="8" s="1"/>
  <c r="L17" i="11" l="1"/>
  <c r="L17" i="34"/>
  <c r="O39" i="8"/>
  <c r="O40" i="8" s="1"/>
  <c r="M29" i="34" s="1"/>
  <c r="O37" i="8"/>
  <c r="O38" i="8" s="1"/>
  <c r="M27" i="34" s="1"/>
  <c r="P39" i="8"/>
  <c r="P40" i="8" s="1"/>
  <c r="N29" i="34" s="1"/>
  <c r="P37" i="8"/>
  <c r="P38" i="8" s="1"/>
  <c r="N27" i="34" s="1"/>
  <c r="P41" i="8"/>
  <c r="P42" i="8" s="1"/>
  <c r="N31" i="34" s="1"/>
  <c r="O41" i="8"/>
  <c r="O42" i="8" s="1"/>
  <c r="M31" i="34" s="1"/>
  <c r="M41" i="8"/>
  <c r="M42" i="8" s="1"/>
  <c r="L31" i="34" s="1"/>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44" i="6"/>
  <c r="E45" i="6"/>
  <c r="E46" i="6"/>
  <c r="E47" i="6"/>
  <c r="E48" i="6"/>
  <c r="E49" i="6"/>
  <c r="E50" i="6"/>
  <c r="E51" i="6"/>
  <c r="E52" i="6"/>
  <c r="E53" i="6"/>
  <c r="E54" i="6"/>
  <c r="E55" i="6"/>
  <c r="E56" i="6"/>
  <c r="E57" i="6"/>
  <c r="E58" i="6"/>
  <c r="E59" i="6"/>
  <c r="P27" i="34" l="1"/>
  <c r="P31" i="34"/>
  <c r="P17" i="34"/>
  <c r="O31" i="11"/>
  <c r="O25" i="11"/>
  <c r="O27" i="11"/>
  <c r="O29" i="11"/>
  <c r="L31" i="11"/>
  <c r="M31" i="11"/>
  <c r="N31" i="11"/>
  <c r="N29" i="11"/>
  <c r="L27" i="11"/>
  <c r="N27" i="11"/>
  <c r="M27" i="11"/>
  <c r="N17" i="11"/>
  <c r="M17" i="11"/>
  <c r="P31" i="8"/>
  <c r="O31" i="8"/>
  <c r="P29" i="8"/>
  <c r="O29" i="8"/>
  <c r="P27" i="8"/>
  <c r="O27" i="8"/>
  <c r="M29" i="11"/>
  <c r="M39" i="8"/>
  <c r="M31" i="8"/>
  <c r="M29" i="8"/>
  <c r="M27" i="8"/>
  <c r="M28" i="8" s="1"/>
  <c r="P35" i="8"/>
  <c r="M35" i="8"/>
  <c r="M36" i="8" s="1"/>
  <c r="L25" i="34" s="1"/>
  <c r="O35" i="8"/>
  <c r="O36" i="8" s="1"/>
  <c r="M25" i="34" s="1"/>
  <c r="B17" i="8"/>
  <c r="B19" i="8"/>
  <c r="B21" i="8"/>
  <c r="P31" i="11" l="1"/>
  <c r="AC11" i="12" s="1"/>
  <c r="P36" i="8"/>
  <c r="M30" i="8"/>
  <c r="L21" i="11" s="1"/>
  <c r="M32" i="8"/>
  <c r="L23" i="11" s="1"/>
  <c r="M40" i="8"/>
  <c r="O28" i="8"/>
  <c r="M19" i="11" s="1"/>
  <c r="P28" i="8"/>
  <c r="N19" i="11" s="1"/>
  <c r="O30" i="8"/>
  <c r="M21" i="11" s="1"/>
  <c r="P30" i="8"/>
  <c r="N21" i="11" s="1"/>
  <c r="O32" i="8"/>
  <c r="M23" i="11" s="1"/>
  <c r="P32" i="8"/>
  <c r="N23" i="11" s="1"/>
  <c r="P27" i="11"/>
  <c r="AC9" i="12" s="1"/>
  <c r="M25" i="11"/>
  <c r="L25" i="11"/>
  <c r="L19" i="11"/>
  <c r="B15" i="8"/>
  <c r="X21" i="8" s="1"/>
  <c r="N25" i="11" l="1"/>
  <c r="N25" i="34"/>
  <c r="L29" i="11"/>
  <c r="P29" i="11" s="1"/>
  <c r="AC10" i="12" s="1"/>
  <c r="L29" i="34"/>
  <c r="P25" i="11"/>
  <c r="AC8" i="12" s="1"/>
  <c r="P29" i="34" l="1"/>
  <c r="P25" i="34"/>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50" i="6"/>
  <c r="P51" i="6"/>
  <c r="P52" i="6"/>
  <c r="P53" i="6"/>
  <c r="P54" i="6"/>
  <c r="P55" i="6"/>
  <c r="P44" i="6"/>
  <c r="P45" i="6"/>
  <c r="P46" i="6"/>
  <c r="P47" i="6"/>
  <c r="P48" i="6"/>
  <c r="P49" i="6"/>
  <c r="P56" i="6"/>
  <c r="P57" i="6"/>
  <c r="P58" i="6"/>
  <c r="P59" i="6"/>
  <c r="P5" i="6"/>
  <c r="G2" i="8" l="1"/>
  <c r="K3" i="12" l="1"/>
  <c r="X15" i="8"/>
  <c r="G15" i="8"/>
  <c r="M15" i="8" s="1"/>
  <c r="V36" i="8"/>
  <c r="V26" i="8"/>
  <c r="AD38" i="16" s="1"/>
  <c r="J36" i="8"/>
  <c r="F25" i="11" s="1"/>
  <c r="X26" i="8"/>
  <c r="W36" i="8"/>
  <c r="W26" i="8"/>
  <c r="G36" i="8"/>
  <c r="D25" i="34" s="1"/>
  <c r="I36" i="8"/>
  <c r="E25" i="34" s="1"/>
  <c r="I26" i="8"/>
  <c r="J26" i="8"/>
  <c r="G28" i="8"/>
  <c r="I28" i="8"/>
  <c r="J28" i="8"/>
  <c r="G38" i="8"/>
  <c r="D27" i="34" s="1"/>
  <c r="I38" i="8"/>
  <c r="E27" i="34" s="1"/>
  <c r="K36" i="8"/>
  <c r="Q26" i="8"/>
  <c r="G26" i="8"/>
  <c r="D17" i="34" s="1"/>
  <c r="U15" i="8"/>
  <c r="K2" i="8"/>
  <c r="D25" i="11"/>
  <c r="F21" i="8"/>
  <c r="E17" i="11"/>
  <c r="F17" i="8"/>
  <c r="F19" i="8"/>
  <c r="G31" i="11"/>
  <c r="G29" i="11"/>
  <c r="G27" i="11"/>
  <c r="G25" i="11"/>
  <c r="O23" i="11"/>
  <c r="P23" i="11" s="1"/>
  <c r="O21" i="11"/>
  <c r="P21" i="11" s="1"/>
  <c r="G19" i="11"/>
  <c r="G17" i="11"/>
  <c r="F17" i="11"/>
  <c r="K22" i="8"/>
  <c r="G15" i="11" s="1"/>
  <c r="J21" i="8"/>
  <c r="J22" i="8" s="1"/>
  <c r="F15" i="11" s="1"/>
  <c r="I21" i="8"/>
  <c r="O21" i="8" s="1"/>
  <c r="O22" i="8" s="1"/>
  <c r="M15" i="11" s="1"/>
  <c r="G21" i="8"/>
  <c r="G22" i="8" s="1"/>
  <c r="D15" i="11" s="1"/>
  <c r="K20" i="8"/>
  <c r="G13" i="11" s="1"/>
  <c r="J19" i="8"/>
  <c r="J20" i="8" s="1"/>
  <c r="F13" i="11" s="1"/>
  <c r="I19" i="8"/>
  <c r="I20" i="8" s="1"/>
  <c r="E13" i="11" s="1"/>
  <c r="G19" i="8"/>
  <c r="G20" i="8" s="1"/>
  <c r="D13" i="11" s="1"/>
  <c r="Q18" i="8"/>
  <c r="O11" i="11" s="1"/>
  <c r="J17" i="8"/>
  <c r="J18" i="8" s="1"/>
  <c r="I17" i="8"/>
  <c r="I18" i="8" s="1"/>
  <c r="G17" i="8"/>
  <c r="G18" i="8" s="1"/>
  <c r="Q16" i="8"/>
  <c r="P15" i="8"/>
  <c r="P16" i="8" s="1"/>
  <c r="I15" i="8"/>
  <c r="O15" i="8" s="1"/>
  <c r="O16" i="8" s="1"/>
  <c r="M9" i="34" s="1"/>
  <c r="D19" i="11"/>
  <c r="E19" i="11"/>
  <c r="F19" i="11"/>
  <c r="D21" i="11"/>
  <c r="E21" i="11"/>
  <c r="F21" i="11"/>
  <c r="D23" i="11"/>
  <c r="E23" i="11"/>
  <c r="F23" i="11"/>
  <c r="F27" i="11"/>
  <c r="D29" i="11"/>
  <c r="E29" i="11"/>
  <c r="F29" i="11"/>
  <c r="D31" i="11"/>
  <c r="E31" i="11"/>
  <c r="F31" i="11"/>
  <c r="F15" i="8"/>
  <c r="G21" i="11"/>
  <c r="O19" i="11"/>
  <c r="P19" i="11" s="1"/>
  <c r="T52" i="4"/>
  <c r="T51" i="4"/>
  <c r="N42" i="4"/>
  <c r="D17" i="11" l="1"/>
  <c r="F11" i="11"/>
  <c r="F11" i="34"/>
  <c r="E11" i="11"/>
  <c r="E11" i="34"/>
  <c r="D11" i="11"/>
  <c r="D11" i="34"/>
  <c r="H11" i="34" s="1"/>
  <c r="O9" i="11"/>
  <c r="O9" i="34"/>
  <c r="O33" i="34" s="1"/>
  <c r="N9" i="11"/>
  <c r="N9" i="34"/>
  <c r="E27" i="11"/>
  <c r="K12" i="12"/>
  <c r="K13" i="12"/>
  <c r="D27" i="11"/>
  <c r="E25" i="11"/>
  <c r="H25" i="11" s="1"/>
  <c r="F51" i="12"/>
  <c r="AB9" i="12"/>
  <c r="M9" i="12" s="1"/>
  <c r="M29" i="12"/>
  <c r="M30" i="12"/>
  <c r="AB10" i="12"/>
  <c r="M10" i="12" s="1"/>
  <c r="AB11" i="12"/>
  <c r="M11" i="12" s="1"/>
  <c r="M31" i="12"/>
  <c r="H27" i="34"/>
  <c r="F33" i="23"/>
  <c r="F25" i="34"/>
  <c r="H17" i="34"/>
  <c r="AR32" i="16"/>
  <c r="M16" i="8"/>
  <c r="L9" i="34" s="1"/>
  <c r="X16" i="8"/>
  <c r="Z32" i="16" s="1"/>
  <c r="H27" i="23"/>
  <c r="Z29" i="12" s="1"/>
  <c r="E33" i="23"/>
  <c r="H25" i="23"/>
  <c r="Z28" i="12" s="1"/>
  <c r="D33" i="23"/>
  <c r="L9" i="11"/>
  <c r="G16" i="8"/>
  <c r="D9" i="34" s="1"/>
  <c r="W16" i="8"/>
  <c r="V16" i="8"/>
  <c r="G23" i="11"/>
  <c r="H23" i="11" s="1"/>
  <c r="K18" i="8"/>
  <c r="G11" i="11" s="1"/>
  <c r="G9" i="11"/>
  <c r="H29" i="11"/>
  <c r="H17" i="11"/>
  <c r="I22" i="8"/>
  <c r="E15" i="11" s="1"/>
  <c r="J16" i="8"/>
  <c r="I16" i="8"/>
  <c r="O17" i="11"/>
  <c r="P17" i="11" s="1"/>
  <c r="H19" i="11"/>
  <c r="H31" i="11"/>
  <c r="H21" i="11"/>
  <c r="D9" i="11"/>
  <c r="M17" i="8"/>
  <c r="M18" i="8" s="1"/>
  <c r="O17" i="8"/>
  <c r="O18" i="8" s="1"/>
  <c r="P17" i="8"/>
  <c r="P18" i="8" s="1"/>
  <c r="M19" i="8"/>
  <c r="M20" i="8" s="1"/>
  <c r="L13" i="11" s="1"/>
  <c r="O19" i="8"/>
  <c r="O20" i="8" s="1"/>
  <c r="M13" i="11" s="1"/>
  <c r="P19" i="8"/>
  <c r="P20" i="8" s="1"/>
  <c r="N13" i="11" s="1"/>
  <c r="Q20" i="8"/>
  <c r="O13" i="11" s="1"/>
  <c r="M21" i="8"/>
  <c r="M22" i="8" s="1"/>
  <c r="L15" i="11" s="1"/>
  <c r="P21" i="8"/>
  <c r="P22" i="8" s="1"/>
  <c r="N15" i="11" s="1"/>
  <c r="Q22" i="8"/>
  <c r="O15" i="11" s="1"/>
  <c r="M9" i="11"/>
  <c r="H13" i="11"/>
  <c r="N43" i="4"/>
  <c r="AA42" i="4"/>
  <c r="H27" i="11" l="1"/>
  <c r="D33" i="11"/>
  <c r="H11" i="11"/>
  <c r="X5" i="12" s="1"/>
  <c r="N11" i="11"/>
  <c r="N11" i="34"/>
  <c r="N33" i="34" s="1"/>
  <c r="M11" i="11"/>
  <c r="M33" i="11" s="1"/>
  <c r="M11" i="34"/>
  <c r="M33" i="34" s="1"/>
  <c r="L11" i="11"/>
  <c r="L33" i="11" s="1"/>
  <c r="L11" i="34"/>
  <c r="F9" i="11"/>
  <c r="F33" i="11" s="1"/>
  <c r="F9" i="34"/>
  <c r="F33" i="34" s="1"/>
  <c r="E9" i="11"/>
  <c r="E33" i="11" s="1"/>
  <c r="E9" i="34"/>
  <c r="E33" i="34" s="1"/>
  <c r="P9" i="34"/>
  <c r="L33" i="34"/>
  <c r="D33" i="34"/>
  <c r="Y10" i="12"/>
  <c r="Z11" i="12"/>
  <c r="M28" i="12"/>
  <c r="AB8" i="12"/>
  <c r="Y8" i="12"/>
  <c r="Y12" i="12" s="1"/>
  <c r="Y11" i="12"/>
  <c r="L31" i="12"/>
  <c r="Z8" i="12"/>
  <c r="L26" i="12"/>
  <c r="X6" i="12"/>
  <c r="L6" i="12" s="1"/>
  <c r="Z9" i="12"/>
  <c r="Y9" i="12"/>
  <c r="Z10" i="12"/>
  <c r="L25" i="12"/>
  <c r="H25" i="34"/>
  <c r="H36" i="23"/>
  <c r="H33" i="23"/>
  <c r="G33" i="11"/>
  <c r="H15" i="11"/>
  <c r="N33" i="11"/>
  <c r="P15" i="11"/>
  <c r="O33" i="11"/>
  <c r="P13" i="11"/>
  <c r="P9" i="11"/>
  <c r="M8" i="12" l="1"/>
  <c r="AB12" i="12"/>
  <c r="H9" i="11"/>
  <c r="H40" i="11" s="1"/>
  <c r="P11" i="11"/>
  <c r="P33" i="11" s="1"/>
  <c r="P11" i="34"/>
  <c r="P33" i="34" s="1"/>
  <c r="H9" i="34"/>
  <c r="H40" i="34" s="1"/>
  <c r="L5" i="12"/>
  <c r="X13" i="12"/>
  <c r="L13" i="12" s="1"/>
  <c r="L29" i="12"/>
  <c r="M26" i="12"/>
  <c r="AA6" i="12"/>
  <c r="M6" i="12" s="1"/>
  <c r="L24" i="12"/>
  <c r="X4" i="12"/>
  <c r="L23" i="12"/>
  <c r="M25" i="12"/>
  <c r="AA5" i="12"/>
  <c r="X7" i="12"/>
  <c r="L7" i="12" s="1"/>
  <c r="L27" i="12"/>
  <c r="L8" i="12"/>
  <c r="L10" i="12"/>
  <c r="M23" i="12"/>
  <c r="M24" i="12"/>
  <c r="AA4" i="12"/>
  <c r="AA3" i="12"/>
  <c r="M27" i="12"/>
  <c r="AA7" i="12"/>
  <c r="M7" i="12" s="1"/>
  <c r="L9" i="12"/>
  <c r="L11" i="12"/>
  <c r="L28" i="12"/>
  <c r="L30" i="12"/>
  <c r="H33" i="11"/>
  <c r="P40" i="11" l="1"/>
  <c r="P40" i="34"/>
  <c r="H33" i="34"/>
  <c r="M5" i="12"/>
  <c r="AA13" i="12"/>
  <c r="M13" i="12" s="1"/>
  <c r="M4" i="12"/>
  <c r="AA12" i="12"/>
  <c r="M12" i="12" s="1"/>
  <c r="L4" i="12"/>
  <c r="L3" i="12" s="1"/>
  <c r="X12" i="12"/>
  <c r="L12" i="12" s="1"/>
  <c r="M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及川佳奈</author>
  </authors>
  <commentList>
    <comment ref="D9" authorId="0" shapeId="0" xr:uid="{AFAB44C1-35B1-48EC-8400-76701710D941}">
      <text>
        <r>
          <rPr>
            <b/>
            <sz val="9"/>
            <color indexed="81"/>
            <rFont val="MS P ゴシック"/>
            <family val="3"/>
            <charset val="128"/>
          </rPr>
          <t>及川佳奈:</t>
        </r>
        <r>
          <rPr>
            <sz val="9"/>
            <color indexed="81"/>
            <rFont val="MS P ゴシック"/>
            <family val="3"/>
            <charset val="128"/>
          </rPr>
          <t xml:space="preserve">
N/Aのエラー
次のケースはエラーがでます。
・主催者：本部・部局
・支払方法：銀行振込
（修正方法）
「判定表」シートのセルD2,G2,J2を申込内容に合わせて入力してください。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及川佳奈</author>
  </authors>
  <commentList>
    <comment ref="D15" authorId="0" shapeId="0" xr:uid="{8A3B543C-C61E-46C9-B985-D97D0F613A12}">
      <text>
        <r>
          <rPr>
            <b/>
            <sz val="9"/>
            <color indexed="81"/>
            <rFont val="MS P ゴシック"/>
            <family val="3"/>
            <charset val="128"/>
          </rPr>
          <t>及川佳奈:</t>
        </r>
        <r>
          <rPr>
            <sz val="9"/>
            <color indexed="81"/>
            <rFont val="MS P ゴシック"/>
            <family val="3"/>
            <charset val="128"/>
          </rPr>
          <t xml:space="preserve">
祝日シートを参照しています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東北大学</author>
  </authors>
  <commentList>
    <comment ref="Z25" authorId="0" shapeId="0" xr:uid="{00000000-0006-0000-0700-000001000000}">
      <text>
        <r>
          <rPr>
            <sz val="9"/>
            <color indexed="81"/>
            <rFont val="MS P ゴシック"/>
            <family val="3"/>
            <charset val="128"/>
          </rPr>
          <t>24時間表記
【例】午後3時30分 → 15:30</t>
        </r>
      </text>
    </comment>
    <comment ref="A35" authorId="0" shapeId="0" xr:uid="{00000000-0006-0000-0700-000002000000}">
      <text>
        <r>
          <rPr>
            <sz val="9"/>
            <color indexed="81"/>
            <rFont val="MS P ゴシック"/>
            <family val="3"/>
            <charset val="128"/>
          </rPr>
          <t>西暦年/月/日</t>
        </r>
      </text>
    </comment>
    <comment ref="A47" authorId="0" shapeId="0" xr:uid="{00000000-0006-0000-0700-000003000000}">
      <text>
        <r>
          <rPr>
            <sz val="9"/>
            <color indexed="81"/>
            <rFont val="MS P ゴシック"/>
            <family val="3"/>
            <charset val="128"/>
          </rPr>
          <t>西暦年/月/日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及川佳奈</author>
  </authors>
  <commentList>
    <comment ref="D15" authorId="0" shapeId="0" xr:uid="{36C2C9F8-557D-49FC-8850-E05639DFAFA7}">
      <text>
        <r>
          <rPr>
            <b/>
            <sz val="9"/>
            <color indexed="81"/>
            <rFont val="MS P ゴシック"/>
            <family val="3"/>
            <charset val="128"/>
          </rPr>
          <t>及川佳奈:</t>
        </r>
        <r>
          <rPr>
            <sz val="9"/>
            <color indexed="81"/>
            <rFont val="MS P ゴシック"/>
            <family val="3"/>
            <charset val="128"/>
          </rPr>
          <t xml:space="preserve">
祝日シートを参照しています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東北大学</author>
  </authors>
  <commentList>
    <comment ref="A32" authorId="0" shapeId="0" xr:uid="{00000000-0006-0000-0C00-000001000000}">
      <text>
        <r>
          <rPr>
            <sz val="9"/>
            <color indexed="81"/>
            <rFont val="MS P ゴシック"/>
            <family val="3"/>
            <charset val="128"/>
          </rPr>
          <t xml:space="preserve">西暦年/月/日
</t>
        </r>
      </text>
    </comment>
    <comment ref="A38" authorId="0" shapeId="0" xr:uid="{00000000-0006-0000-0C00-000002000000}">
      <text>
        <r>
          <rPr>
            <sz val="9"/>
            <color indexed="81"/>
            <rFont val="MS P ゴシック"/>
            <family val="3"/>
            <charset val="128"/>
          </rPr>
          <t>西暦年/月/日</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佐藤　真理</author>
  </authors>
  <commentList>
    <comment ref="AC8" authorId="0" shapeId="0" xr:uid="{51D226B2-34DA-417C-8992-6ADBC191B3D5}">
      <text>
        <r>
          <rPr>
            <sz val="9"/>
            <color indexed="81"/>
            <rFont val="MS P ゴシック"/>
            <family val="3"/>
            <charset val="128"/>
          </rPr>
          <t>半角 西暦年/月/日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及川　佳奈</author>
  </authors>
  <commentList>
    <comment ref="A1" authorId="0" shapeId="0" xr:uid="{05099239-7082-4098-A668-E46B924F9767}">
      <text>
        <r>
          <rPr>
            <b/>
            <sz val="9"/>
            <color indexed="81"/>
            <rFont val="MS P ゴシック"/>
            <family val="3"/>
            <charset val="128"/>
          </rPr>
          <t>及川　佳奈:</t>
        </r>
        <r>
          <rPr>
            <sz val="9"/>
            <color indexed="81"/>
            <rFont val="MS P ゴシック"/>
            <family val="3"/>
            <charset val="128"/>
          </rPr>
          <t xml:space="preserve">
年度更新の際、該当する2年分の祝日を、実際と相違がないか確認すること。</t>
        </r>
      </text>
    </comment>
  </commentList>
</comments>
</file>

<file path=xl/sharedStrings.xml><?xml version="1.0" encoding="utf-8"?>
<sst xmlns="http://schemas.openxmlformats.org/spreadsheetml/2006/main" count="1387" uniqueCount="420">
  <si>
    <t>団体名</t>
    <rPh sb="0" eb="2">
      <t>ダンタイ</t>
    </rPh>
    <rPh sb="2" eb="3">
      <t>メイ</t>
    </rPh>
    <phoneticPr fontId="4"/>
  </si>
  <si>
    <t>使用者は、本学の係員が維持管理のために行う指示及び入室指示を拒むことができない。</t>
    <rPh sb="0" eb="3">
      <t>シヨウシャ</t>
    </rPh>
    <rPh sb="5" eb="7">
      <t>ホンガク</t>
    </rPh>
    <rPh sb="8" eb="10">
      <t>カカリイン</t>
    </rPh>
    <rPh sb="11" eb="13">
      <t>イジ</t>
    </rPh>
    <rPh sb="13" eb="15">
      <t>カンリ</t>
    </rPh>
    <rPh sb="19" eb="20">
      <t>オコナ</t>
    </rPh>
    <rPh sb="21" eb="23">
      <t>シジ</t>
    </rPh>
    <rPh sb="23" eb="24">
      <t>オヨ</t>
    </rPh>
    <rPh sb="25" eb="27">
      <t>ニュウシツ</t>
    </rPh>
    <rPh sb="27" eb="29">
      <t>シジ</t>
    </rPh>
    <rPh sb="30" eb="31">
      <t>コバ</t>
    </rPh>
    <phoneticPr fontId="3"/>
  </si>
  <si>
    <t>館長は、使用者が許可条件を守らないときは、使用の許可を取り消し、又は使用を中止させることがある。</t>
    <rPh sb="0" eb="2">
      <t>カンチョウ</t>
    </rPh>
    <rPh sb="4" eb="7">
      <t>シヨウシャ</t>
    </rPh>
    <rPh sb="8" eb="10">
      <t>キョカ</t>
    </rPh>
    <rPh sb="10" eb="12">
      <t>ジョウケン</t>
    </rPh>
    <rPh sb="13" eb="14">
      <t>マモ</t>
    </rPh>
    <rPh sb="21" eb="23">
      <t>シヨウ</t>
    </rPh>
    <rPh sb="24" eb="26">
      <t>キョカ</t>
    </rPh>
    <rPh sb="27" eb="28">
      <t>ト</t>
    </rPh>
    <rPh sb="29" eb="30">
      <t>ケ</t>
    </rPh>
    <rPh sb="32" eb="33">
      <t>マタ</t>
    </rPh>
    <rPh sb="34" eb="36">
      <t>シヨウ</t>
    </rPh>
    <rPh sb="37" eb="39">
      <t>チュウシ</t>
    </rPh>
    <phoneticPr fontId="3"/>
  </si>
  <si>
    <t>使用者は、使用を終えたとき又は使用の許可を取り消され若しくは使用を中止させられたときは、直ちに原状に回復し、返還しなければならない。</t>
    <rPh sb="0" eb="3">
      <t>シヨウシャ</t>
    </rPh>
    <rPh sb="5" eb="7">
      <t>シヨウ</t>
    </rPh>
    <rPh sb="8" eb="9">
      <t>オ</t>
    </rPh>
    <rPh sb="13" eb="14">
      <t>マタ</t>
    </rPh>
    <rPh sb="15" eb="17">
      <t>シヨウ</t>
    </rPh>
    <rPh sb="18" eb="20">
      <t>キョカ</t>
    </rPh>
    <rPh sb="21" eb="22">
      <t>ト</t>
    </rPh>
    <rPh sb="23" eb="24">
      <t>ケ</t>
    </rPh>
    <rPh sb="26" eb="27">
      <t>モ</t>
    </rPh>
    <rPh sb="30" eb="32">
      <t>シヨウ</t>
    </rPh>
    <rPh sb="33" eb="35">
      <t>チュウシ</t>
    </rPh>
    <phoneticPr fontId="3"/>
  </si>
  <si>
    <t>使用者は、使用施設及びその設備、備品等を滅失又はき損した場合又はこの許可条件に定める義務を遂行しない場合、これによって生じた損害を賠償しなければならない。</t>
    <rPh sb="0" eb="3">
      <t>シヨウシャ</t>
    </rPh>
    <rPh sb="5" eb="7">
      <t>シヨウ</t>
    </rPh>
    <rPh sb="7" eb="9">
      <t>シセツ</t>
    </rPh>
    <rPh sb="9" eb="10">
      <t>オヨ</t>
    </rPh>
    <rPh sb="13" eb="15">
      <t>セツビ</t>
    </rPh>
    <rPh sb="16" eb="18">
      <t>ビヒン</t>
    </rPh>
    <rPh sb="18" eb="19">
      <t>トウ</t>
    </rPh>
    <rPh sb="20" eb="22">
      <t>メッシツ</t>
    </rPh>
    <rPh sb="22" eb="23">
      <t>マタ</t>
    </rPh>
    <rPh sb="25" eb="26">
      <t>ソン</t>
    </rPh>
    <rPh sb="28" eb="30">
      <t>バアイ</t>
    </rPh>
    <rPh sb="30" eb="31">
      <t>マタ</t>
    </rPh>
    <rPh sb="34" eb="36">
      <t>キョカ</t>
    </rPh>
    <rPh sb="36" eb="38">
      <t>ジョウケン</t>
    </rPh>
    <phoneticPr fontId="3"/>
  </si>
  <si>
    <t>ホール</t>
    <phoneticPr fontId="4"/>
  </si>
  <si>
    <t>応接室</t>
    <rPh sb="0" eb="3">
      <t>オウセツシツ</t>
    </rPh>
    <phoneticPr fontId="4"/>
  </si>
  <si>
    <t>種別</t>
    <rPh sb="0" eb="2">
      <t>シュベツ</t>
    </rPh>
    <phoneticPr fontId="4"/>
  </si>
  <si>
    <t>【許可条件】</t>
    <rPh sb="1" eb="3">
      <t>キョカ</t>
    </rPh>
    <rPh sb="3" eb="5">
      <t>ジョウケン</t>
    </rPh>
    <phoneticPr fontId="4"/>
  </si>
  <si>
    <t>氏名</t>
    <rPh sb="0" eb="2">
      <t>シメイ</t>
    </rPh>
    <phoneticPr fontId="4"/>
  </si>
  <si>
    <t>〒</t>
  </si>
  <si>
    <t>団体責任者</t>
    <rPh sb="0" eb="2">
      <t>ダンタイ</t>
    </rPh>
    <rPh sb="2" eb="5">
      <t>セキニンシャ</t>
    </rPh>
    <phoneticPr fontId="4"/>
  </si>
  <si>
    <t>受付日</t>
    <phoneticPr fontId="4"/>
  </si>
  <si>
    <t>受付者</t>
    <phoneticPr fontId="4"/>
  </si>
  <si>
    <t>許可番号</t>
    <phoneticPr fontId="4"/>
  </si>
  <si>
    <t>(1)</t>
    <phoneticPr fontId="4"/>
  </si>
  <si>
    <t>(3)</t>
    <phoneticPr fontId="4"/>
  </si>
  <si>
    <t>(5)</t>
    <phoneticPr fontId="4"/>
  </si>
  <si>
    <t>学校教育法第一条に規定する学校(大学を除く)</t>
    <phoneticPr fontId="4"/>
  </si>
  <si>
    <t>(2)</t>
    <phoneticPr fontId="4"/>
  </si>
  <si>
    <t>(4)</t>
    <phoneticPr fontId="4"/>
  </si>
  <si>
    <t>(6)</t>
    <phoneticPr fontId="4"/>
  </si>
  <si>
    <t>その他</t>
    <rPh sb="2" eb="3">
      <t>タ</t>
    </rPh>
    <phoneticPr fontId="4"/>
  </si>
  <si>
    <t>職名</t>
    <rPh sb="0" eb="2">
      <t>ショクメイ</t>
    </rPh>
    <phoneticPr fontId="4"/>
  </si>
  <si>
    <t>東北大学組織運営規程に定める部局等</t>
    <rPh sb="8" eb="10">
      <t>キテイ</t>
    </rPh>
    <phoneticPr fontId="4"/>
  </si>
  <si>
    <t>(7)</t>
    <phoneticPr fontId="4"/>
  </si>
  <si>
    <t>萩友会プレミアム会員が主催する学会</t>
    <rPh sb="0" eb="1">
      <t>ハギ</t>
    </rPh>
    <rPh sb="1" eb="2">
      <t>トモ</t>
    </rPh>
    <rPh sb="2" eb="3">
      <t>カイ</t>
    </rPh>
    <rPh sb="8" eb="10">
      <t>カイイン</t>
    </rPh>
    <rPh sb="11" eb="13">
      <t>シュサイ</t>
    </rPh>
    <rPh sb="15" eb="17">
      <t>ガッカイ</t>
    </rPh>
    <phoneticPr fontId="4"/>
  </si>
  <si>
    <t>本学の教職員、学生が責任者として主催するもの</t>
    <rPh sb="10" eb="13">
      <t>セキニンシャ</t>
    </rPh>
    <rPh sb="16" eb="18">
      <t>シュサイ</t>
    </rPh>
    <phoneticPr fontId="4"/>
  </si>
  <si>
    <t>電話番号</t>
    <phoneticPr fontId="4"/>
  </si>
  <si>
    <t>E-mail</t>
    <phoneticPr fontId="4"/>
  </si>
  <si>
    <t>フリガナ</t>
    <phoneticPr fontId="4"/>
  </si>
  <si>
    <t>使用料
支払方法</t>
    <rPh sb="0" eb="3">
      <t>シヨウリョウ</t>
    </rPh>
    <rPh sb="4" eb="6">
      <t>シハライ</t>
    </rPh>
    <rPh sb="6" eb="8">
      <t>ホウホウ</t>
    </rPh>
    <phoneticPr fontId="4"/>
  </si>
  <si>
    <t>【使用者情報】</t>
    <rPh sb="1" eb="3">
      <t>シヨウ</t>
    </rPh>
    <rPh sb="3" eb="4">
      <t>シャ</t>
    </rPh>
    <rPh sb="4" eb="6">
      <t>ジョウホウ</t>
    </rPh>
    <phoneticPr fontId="4"/>
  </si>
  <si>
    <t>【催事情報】</t>
    <rPh sb="1" eb="3">
      <t>サイジ</t>
    </rPh>
    <rPh sb="3" eb="5">
      <t>ジョウホウ</t>
    </rPh>
    <phoneticPr fontId="4"/>
  </si>
  <si>
    <t>催事名</t>
    <rPh sb="0" eb="2">
      <t>サイジ</t>
    </rPh>
    <rPh sb="2" eb="3">
      <t>メイ</t>
    </rPh>
    <phoneticPr fontId="4"/>
  </si>
  <si>
    <t>儀式・式典</t>
    <rPh sb="0" eb="2">
      <t>ギシキ</t>
    </rPh>
    <rPh sb="3" eb="5">
      <t>シキテン</t>
    </rPh>
    <phoneticPr fontId="4"/>
  </si>
  <si>
    <t>会議</t>
    <rPh sb="0" eb="2">
      <t>カイギ</t>
    </rPh>
    <phoneticPr fontId="4"/>
  </si>
  <si>
    <t>講演会・シンポジウム</t>
    <rPh sb="0" eb="3">
      <t>コウエンカイ</t>
    </rPh>
    <phoneticPr fontId="4"/>
  </si>
  <si>
    <t>学会</t>
    <rPh sb="0" eb="2">
      <t>ガッカイ</t>
    </rPh>
    <phoneticPr fontId="4"/>
  </si>
  <si>
    <t>音楽</t>
    <rPh sb="0" eb="2">
      <t>オンガク</t>
    </rPh>
    <phoneticPr fontId="4"/>
  </si>
  <si>
    <t>演劇</t>
    <rPh sb="0" eb="2">
      <t>エンゲキ</t>
    </rPh>
    <phoneticPr fontId="4"/>
  </si>
  <si>
    <t>その他</t>
    <rPh sb="2" eb="3">
      <t>タ</t>
    </rPh>
    <phoneticPr fontId="4"/>
  </si>
  <si>
    <t>分野</t>
    <rPh sb="0" eb="2">
      <t>ブンヤ</t>
    </rPh>
    <phoneticPr fontId="4"/>
  </si>
  <si>
    <t>内容</t>
    <rPh sb="0" eb="2">
      <t>ナイヨウ</t>
    </rPh>
    <phoneticPr fontId="4"/>
  </si>
  <si>
    <t>催事概要</t>
    <rPh sb="0" eb="2">
      <t>サイジ</t>
    </rPh>
    <rPh sb="2" eb="4">
      <t>ガイヨウ</t>
    </rPh>
    <phoneticPr fontId="4"/>
  </si>
  <si>
    <t>※イベント（案）、プログラム等をご記入ください。</t>
    <rPh sb="6" eb="7">
      <t>アン</t>
    </rPh>
    <rPh sb="14" eb="15">
      <t>トウ</t>
    </rPh>
    <rPh sb="17" eb="19">
      <t>キニュウ</t>
    </rPh>
    <phoneticPr fontId="4"/>
  </si>
  <si>
    <t>入場料</t>
    <rPh sb="0" eb="3">
      <t>ニュウジョウリョウ</t>
    </rPh>
    <phoneticPr fontId="4"/>
  </si>
  <si>
    <t>使用人数</t>
    <rPh sb="0" eb="2">
      <t>シヨウ</t>
    </rPh>
    <rPh sb="2" eb="4">
      <t>ニンズウ</t>
    </rPh>
    <phoneticPr fontId="4"/>
  </si>
  <si>
    <t>来場者
（見込み）</t>
    <rPh sb="0" eb="3">
      <t>ライジョウシャ</t>
    </rPh>
    <rPh sb="5" eb="7">
      <t>ミコ</t>
    </rPh>
    <phoneticPr fontId="4"/>
  </si>
  <si>
    <t>主催者・出演者</t>
    <rPh sb="0" eb="3">
      <t>シュサイシャ</t>
    </rPh>
    <rPh sb="4" eb="7">
      <t>シュツエンシャ</t>
    </rPh>
    <phoneticPr fontId="4"/>
  </si>
  <si>
    <t>午前</t>
    <rPh sb="0" eb="2">
      <t>ゴゼン</t>
    </rPh>
    <phoneticPr fontId="4"/>
  </si>
  <si>
    <t>9:30～12:00</t>
    <phoneticPr fontId="4"/>
  </si>
  <si>
    <t>午後</t>
    <rPh sb="0" eb="2">
      <t>ゴゴ</t>
    </rPh>
    <phoneticPr fontId="4"/>
  </si>
  <si>
    <t>13:00～17:00</t>
    <phoneticPr fontId="4"/>
  </si>
  <si>
    <t>夜間</t>
    <rPh sb="0" eb="2">
      <t>ヤカン</t>
    </rPh>
    <phoneticPr fontId="4"/>
  </si>
  <si>
    <t>18:00～21:30</t>
    <phoneticPr fontId="4"/>
  </si>
  <si>
    <t>開館前延長</t>
    <rPh sb="0" eb="2">
      <t>カイカン</t>
    </rPh>
    <rPh sb="2" eb="3">
      <t>マエ</t>
    </rPh>
    <rPh sb="3" eb="5">
      <t>エンチョウ</t>
    </rPh>
    <phoneticPr fontId="4"/>
  </si>
  <si>
    <t>【ホール】</t>
    <phoneticPr fontId="4"/>
  </si>
  <si>
    <t>使用区分</t>
    <rPh sb="0" eb="2">
      <t>シヨウ</t>
    </rPh>
    <rPh sb="2" eb="4">
      <t>クブン</t>
    </rPh>
    <phoneticPr fontId="4"/>
  </si>
  <si>
    <t>使用年月日</t>
    <rPh sb="0" eb="2">
      <t>シヨウ</t>
    </rPh>
    <rPh sb="2" eb="5">
      <t>ネンガッピ</t>
    </rPh>
    <phoneticPr fontId="4"/>
  </si>
  <si>
    <t>各種申請</t>
    <rPh sb="0" eb="2">
      <t>カクシュ</t>
    </rPh>
    <rPh sb="2" eb="4">
      <t>シンセイ</t>
    </rPh>
    <phoneticPr fontId="4"/>
  </si>
  <si>
    <t>物品販売</t>
    <rPh sb="0" eb="2">
      <t>ブッピン</t>
    </rPh>
    <rPh sb="2" eb="4">
      <t>ハンバイ</t>
    </rPh>
    <phoneticPr fontId="4"/>
  </si>
  <si>
    <t>署名活動</t>
    <rPh sb="0" eb="2">
      <t>ショメイ</t>
    </rPh>
    <rPh sb="2" eb="4">
      <t>カツドウ</t>
    </rPh>
    <phoneticPr fontId="4"/>
  </si>
  <si>
    <t>募金活動</t>
    <rPh sb="0" eb="2">
      <t>ボキン</t>
    </rPh>
    <rPh sb="2" eb="4">
      <t>カツドウ</t>
    </rPh>
    <phoneticPr fontId="4"/>
  </si>
  <si>
    <t>ホームページ</t>
    <phoneticPr fontId="4"/>
  </si>
  <si>
    <t>水溶性
スモークマシン</t>
    <rPh sb="0" eb="3">
      <t>スイヨウセイ</t>
    </rPh>
    <phoneticPr fontId="4"/>
  </si>
  <si>
    <t>危険物持込
／裸火使用</t>
    <rPh sb="0" eb="3">
      <t>キケンブツ</t>
    </rPh>
    <rPh sb="3" eb="5">
      <t>モチコミ</t>
    </rPh>
    <rPh sb="7" eb="8">
      <t>ラ</t>
    </rPh>
    <rPh sb="8" eb="9">
      <t>ヒ</t>
    </rPh>
    <rPh sb="9" eb="11">
      <t>シヨウ</t>
    </rPh>
    <phoneticPr fontId="4"/>
  </si>
  <si>
    <t>記</t>
    <rPh sb="0" eb="1">
      <t>キ</t>
    </rPh>
    <phoneticPr fontId="4"/>
  </si>
  <si>
    <t>午前～午後</t>
  </si>
  <si>
    <t>全日</t>
  </si>
  <si>
    <t>午前</t>
  </si>
  <si>
    <t>午後</t>
  </si>
  <si>
    <t>夜間</t>
  </si>
  <si>
    <t>午後～夜間</t>
  </si>
  <si>
    <t>施設区分</t>
    <phoneticPr fontId="12"/>
  </si>
  <si>
    <t>入場料</t>
  </si>
  <si>
    <t>使用日</t>
  </si>
  <si>
    <t>平日</t>
  </si>
  <si>
    <t>土・日・祝</t>
  </si>
  <si>
    <t>501円～3,000円</t>
  </si>
  <si>
    <t>3,001円～5,000円</t>
  </si>
  <si>
    <t>5,001円～</t>
  </si>
  <si>
    <t>会議室(1室あたり)</t>
  </si>
  <si>
    <t>応接室</t>
  </si>
  <si>
    <t>応接室</t>
    <rPh sb="0" eb="3">
      <t>オウセツシツ</t>
    </rPh>
    <phoneticPr fontId="12"/>
  </si>
  <si>
    <t>会議室（１室あたり）</t>
    <rPh sb="0" eb="3">
      <t>カイギシツ</t>
    </rPh>
    <rPh sb="5" eb="6">
      <t>シツ</t>
    </rPh>
    <phoneticPr fontId="12"/>
  </si>
  <si>
    <t>ホール</t>
    <phoneticPr fontId="12"/>
  </si>
  <si>
    <t>平日</t>
    <rPh sb="0" eb="2">
      <t>ヘイジツ</t>
    </rPh>
    <phoneticPr fontId="12"/>
  </si>
  <si>
    <t>土・日・祝</t>
    <rPh sb="0" eb="1">
      <t>ツチ</t>
    </rPh>
    <rPh sb="2" eb="3">
      <t>ヒ</t>
    </rPh>
    <rPh sb="4" eb="5">
      <t>シュク</t>
    </rPh>
    <phoneticPr fontId="12"/>
  </si>
  <si>
    <t>5,001円～</t>
    <rPh sb="5" eb="6">
      <t>エン</t>
    </rPh>
    <phoneticPr fontId="12"/>
  </si>
  <si>
    <t>ホール</t>
    <phoneticPr fontId="12"/>
  </si>
  <si>
    <t>前延長</t>
    <rPh sb="0" eb="1">
      <t>マエ</t>
    </rPh>
    <rPh sb="1" eb="3">
      <t>エンチョウ</t>
    </rPh>
    <phoneticPr fontId="12"/>
  </si>
  <si>
    <t>夜間延長</t>
    <rPh sb="0" eb="2">
      <t>ヤカン</t>
    </rPh>
    <rPh sb="2" eb="4">
      <t>エンチョウ</t>
    </rPh>
    <phoneticPr fontId="12"/>
  </si>
  <si>
    <t>7:30～9:30</t>
    <phoneticPr fontId="12"/>
  </si>
  <si>
    <t>8:00～9:30</t>
    <phoneticPr fontId="12"/>
  </si>
  <si>
    <t>8:30～9:30</t>
    <phoneticPr fontId="12"/>
  </si>
  <si>
    <t>21:30～22:30</t>
    <phoneticPr fontId="12"/>
  </si>
  <si>
    <t>コード</t>
    <phoneticPr fontId="4"/>
  </si>
  <si>
    <t>ホール</t>
    <phoneticPr fontId="12"/>
  </si>
  <si>
    <t>基本料金</t>
    <rPh sb="0" eb="2">
      <t>キホン</t>
    </rPh>
    <rPh sb="2" eb="4">
      <t>リョウキン</t>
    </rPh>
    <phoneticPr fontId="4"/>
  </si>
  <si>
    <t>無料～500円</t>
    <rPh sb="0" eb="2">
      <t>ムリョウ</t>
    </rPh>
    <phoneticPr fontId="12"/>
  </si>
  <si>
    <t>501円～3,000円</t>
    <rPh sb="3" eb="4">
      <t>エン</t>
    </rPh>
    <phoneticPr fontId="12"/>
  </si>
  <si>
    <t>3,001円～5,000円</t>
    <rPh sb="5" eb="6">
      <t>エン</t>
    </rPh>
    <phoneticPr fontId="12"/>
  </si>
  <si>
    <t>全免</t>
    <rPh sb="0" eb="1">
      <t>ゼン</t>
    </rPh>
    <rPh sb="1" eb="2">
      <t>メン</t>
    </rPh>
    <phoneticPr fontId="4"/>
  </si>
  <si>
    <t>本番
（別表）</t>
    <rPh sb="0" eb="2">
      <t>ホンバン</t>
    </rPh>
    <rPh sb="4" eb="6">
      <t>ベッピョウ</t>
    </rPh>
    <phoneticPr fontId="4"/>
  </si>
  <si>
    <t>リハ
（別表２）</t>
    <rPh sb="4" eb="6">
      <t>ベッピョウ</t>
    </rPh>
    <phoneticPr fontId="4"/>
  </si>
  <si>
    <t>半免</t>
    <rPh sb="0" eb="1">
      <t>ハン</t>
    </rPh>
    <rPh sb="1" eb="2">
      <t>メン</t>
    </rPh>
    <phoneticPr fontId="4"/>
  </si>
  <si>
    <t>本部・部局
学友会、学友会準加盟
萩友会等無料催事
（別表１）</t>
    <rPh sb="0" eb="2">
      <t>ホンブ</t>
    </rPh>
    <rPh sb="3" eb="5">
      <t>ブキョク</t>
    </rPh>
    <rPh sb="6" eb="9">
      <t>ガクユウカイ</t>
    </rPh>
    <rPh sb="10" eb="13">
      <t>ガクユウカイ</t>
    </rPh>
    <rPh sb="13" eb="14">
      <t>ジュン</t>
    </rPh>
    <rPh sb="14" eb="16">
      <t>カメイ</t>
    </rPh>
    <rPh sb="17" eb="18">
      <t>ハギ</t>
    </rPh>
    <rPh sb="18" eb="19">
      <t>トモ</t>
    </rPh>
    <rPh sb="19" eb="20">
      <t>カイ</t>
    </rPh>
    <rPh sb="20" eb="21">
      <t>トウ</t>
    </rPh>
    <rPh sb="21" eb="23">
      <t>ムリョウ</t>
    </rPh>
    <rPh sb="23" eb="25">
      <t>サイジ</t>
    </rPh>
    <rPh sb="27" eb="29">
      <t>ベッピョウ</t>
    </rPh>
    <phoneticPr fontId="4"/>
  </si>
  <si>
    <t>ホール</t>
    <phoneticPr fontId="4"/>
  </si>
  <si>
    <t>１割免除・本番
萩友会ﾌﾟﾚﾐｱﾑ会員主催
（別表３（１））</t>
    <rPh sb="1" eb="2">
      <t>ワリ</t>
    </rPh>
    <rPh sb="2" eb="4">
      <t>メンジョ</t>
    </rPh>
    <rPh sb="5" eb="7">
      <t>ホンバン</t>
    </rPh>
    <rPh sb="8" eb="9">
      <t>ハギ</t>
    </rPh>
    <rPh sb="9" eb="10">
      <t>トモ</t>
    </rPh>
    <rPh sb="10" eb="11">
      <t>カイ</t>
    </rPh>
    <rPh sb="17" eb="19">
      <t>カイイン</t>
    </rPh>
    <rPh sb="19" eb="21">
      <t>シュサイ</t>
    </rPh>
    <rPh sb="23" eb="25">
      <t>ベッピョウ</t>
    </rPh>
    <phoneticPr fontId="4"/>
  </si>
  <si>
    <t>1割免除・リハ
萩友会ﾌﾟﾚﾐｱﾑ会員主催
（別表３（２））</t>
    <rPh sb="1" eb="2">
      <t>ワリ</t>
    </rPh>
    <rPh sb="2" eb="4">
      <t>メンジョ</t>
    </rPh>
    <phoneticPr fontId="4"/>
  </si>
  <si>
    <t>学友会</t>
    <rPh sb="0" eb="3">
      <t>ガクユウカイ</t>
    </rPh>
    <phoneticPr fontId="4"/>
  </si>
  <si>
    <t>本番
（別表１）</t>
    <rPh sb="0" eb="2">
      <t>ホンバン</t>
    </rPh>
    <rPh sb="4" eb="6">
      <t>ベッピョウ</t>
    </rPh>
    <phoneticPr fontId="4"/>
  </si>
  <si>
    <t>リハ（別表４）</t>
    <rPh sb="3" eb="5">
      <t>ベッピョウ</t>
    </rPh>
    <phoneticPr fontId="4"/>
  </si>
  <si>
    <t>9:30～17:00</t>
    <phoneticPr fontId="4"/>
  </si>
  <si>
    <t>13:00～21:30</t>
    <phoneticPr fontId="4"/>
  </si>
  <si>
    <t>9:30～21:30</t>
    <phoneticPr fontId="4"/>
  </si>
  <si>
    <t>12:00～13:00</t>
    <phoneticPr fontId="12"/>
  </si>
  <si>
    <t>17:00～18:00</t>
    <phoneticPr fontId="12"/>
  </si>
  <si>
    <t>午前／夜間</t>
    <rPh sb="0" eb="2">
      <t>ゴゼン</t>
    </rPh>
    <rPh sb="3" eb="5">
      <t>ヤカン</t>
    </rPh>
    <phoneticPr fontId="4"/>
  </si>
  <si>
    <t>本部</t>
    <rPh sb="0" eb="2">
      <t>ホンブ</t>
    </rPh>
    <phoneticPr fontId="4"/>
  </si>
  <si>
    <t>部局</t>
    <rPh sb="0" eb="2">
      <t>ブキョク</t>
    </rPh>
    <phoneticPr fontId="4"/>
  </si>
  <si>
    <t>萩友会</t>
    <rPh sb="0" eb="1">
      <t>ハギ</t>
    </rPh>
    <rPh sb="1" eb="2">
      <t>トモ</t>
    </rPh>
    <rPh sb="2" eb="3">
      <t>カイ</t>
    </rPh>
    <phoneticPr fontId="4"/>
  </si>
  <si>
    <t>教職員・学生</t>
    <rPh sb="0" eb="3">
      <t>キョウショクイン</t>
    </rPh>
    <rPh sb="4" eb="6">
      <t>ガクセイ</t>
    </rPh>
    <phoneticPr fontId="4"/>
  </si>
  <si>
    <t>学校</t>
    <rPh sb="0" eb="2">
      <t>ガッコウ</t>
    </rPh>
    <phoneticPr fontId="4"/>
  </si>
  <si>
    <t>プレミアム</t>
    <phoneticPr fontId="4"/>
  </si>
  <si>
    <t>免除</t>
    <rPh sb="0" eb="2">
      <t>メンジョ</t>
    </rPh>
    <phoneticPr fontId="4"/>
  </si>
  <si>
    <t>免除なし</t>
    <rPh sb="0" eb="2">
      <t>メンジョ</t>
    </rPh>
    <phoneticPr fontId="4"/>
  </si>
  <si>
    <t>１割免</t>
    <rPh sb="1" eb="2">
      <t>ワリ</t>
    </rPh>
    <rPh sb="2" eb="3">
      <t>メン</t>
    </rPh>
    <phoneticPr fontId="4"/>
  </si>
  <si>
    <t>501～3000</t>
    <phoneticPr fontId="4"/>
  </si>
  <si>
    <t>3001～5000</t>
    <phoneticPr fontId="4"/>
  </si>
  <si>
    <t>5001～</t>
    <phoneticPr fontId="4"/>
  </si>
  <si>
    <t>料金表（別表～別表４）</t>
    <rPh sb="0" eb="2">
      <t>リョウキン</t>
    </rPh>
    <rPh sb="2" eb="3">
      <t>ヒョウ</t>
    </rPh>
    <rPh sb="4" eb="6">
      <t>ベッピョウ</t>
    </rPh>
    <rPh sb="7" eb="9">
      <t>ベッピョウ</t>
    </rPh>
    <phoneticPr fontId="4"/>
  </si>
  <si>
    <t>料金表（別表５）</t>
    <rPh sb="0" eb="2">
      <t>リョウキン</t>
    </rPh>
    <rPh sb="2" eb="3">
      <t>ヒョウ</t>
    </rPh>
    <rPh sb="4" eb="6">
      <t>ベッピョウ</t>
    </rPh>
    <phoneticPr fontId="4"/>
  </si>
  <si>
    <t>元日</t>
  </si>
  <si>
    <t>成人の日</t>
  </si>
  <si>
    <t>建国記念の日</t>
  </si>
  <si>
    <t>春分の日</t>
  </si>
  <si>
    <t>昭和の日</t>
  </si>
  <si>
    <t>憲法記念日</t>
  </si>
  <si>
    <t>みどりの日</t>
  </si>
  <si>
    <t>こどもの日</t>
  </si>
  <si>
    <t>振替休日</t>
  </si>
  <si>
    <t>海の日</t>
  </si>
  <si>
    <t>山の日</t>
  </si>
  <si>
    <t>敬老の日</t>
  </si>
  <si>
    <t>秋分の日</t>
  </si>
  <si>
    <t>文化の日</t>
  </si>
  <si>
    <t>勤労感謝の日</t>
  </si>
  <si>
    <t>天皇誕生日</t>
  </si>
  <si>
    <t>1～500</t>
    <phoneticPr fontId="4"/>
  </si>
  <si>
    <t>合計</t>
    <rPh sb="0" eb="2">
      <t>ゴウケイ</t>
    </rPh>
    <phoneticPr fontId="4"/>
  </si>
  <si>
    <t>無料～
500円</t>
    <phoneticPr fontId="12"/>
  </si>
  <si>
    <t>曜日</t>
    <rPh sb="0" eb="2">
      <t>ヨウビ</t>
    </rPh>
    <phoneticPr fontId="4"/>
  </si>
  <si>
    <t>祝日</t>
    <rPh sb="0" eb="2">
      <t>シュクジツ</t>
    </rPh>
    <phoneticPr fontId="4"/>
  </si>
  <si>
    <t>コード</t>
    <phoneticPr fontId="4"/>
  </si>
  <si>
    <t>午前</t>
    <rPh sb="0" eb="2">
      <t>ゴゼン</t>
    </rPh>
    <phoneticPr fontId="4"/>
  </si>
  <si>
    <t>午後</t>
    <rPh sb="0" eb="2">
      <t>ゴゴ</t>
    </rPh>
    <phoneticPr fontId="4"/>
  </si>
  <si>
    <t>夜間</t>
    <rPh sb="0" eb="2">
      <t>ヤカン</t>
    </rPh>
    <phoneticPr fontId="4"/>
  </si>
  <si>
    <t>入場料</t>
    <rPh sb="0" eb="3">
      <t>ニュウジョウリョウ</t>
    </rPh>
    <phoneticPr fontId="4"/>
  </si>
  <si>
    <t>曜日</t>
    <rPh sb="0" eb="2">
      <t>ヨウビ</t>
    </rPh>
    <phoneticPr fontId="4"/>
  </si>
  <si>
    <t>コード</t>
    <phoneticPr fontId="4"/>
  </si>
  <si>
    <t>前延長</t>
    <rPh sb="0" eb="1">
      <t>マエ</t>
    </rPh>
    <rPh sb="1" eb="3">
      <t>エンチョウ</t>
    </rPh>
    <phoneticPr fontId="4"/>
  </si>
  <si>
    <t>ホール</t>
    <phoneticPr fontId="4"/>
  </si>
  <si>
    <t>1日目</t>
    <rPh sb="1" eb="2">
      <t>ニチ</t>
    </rPh>
    <rPh sb="2" eb="3">
      <t>メ</t>
    </rPh>
    <phoneticPr fontId="4"/>
  </si>
  <si>
    <t>2日目</t>
    <rPh sb="1" eb="2">
      <t>ニチ</t>
    </rPh>
    <rPh sb="2" eb="3">
      <t>メ</t>
    </rPh>
    <phoneticPr fontId="4"/>
  </si>
  <si>
    <t>3日目</t>
    <rPh sb="1" eb="2">
      <t>ニチ</t>
    </rPh>
    <rPh sb="2" eb="3">
      <t>メ</t>
    </rPh>
    <phoneticPr fontId="4"/>
  </si>
  <si>
    <t>4日目</t>
    <rPh sb="1" eb="2">
      <t>ニチ</t>
    </rPh>
    <rPh sb="2" eb="3">
      <t>メ</t>
    </rPh>
    <phoneticPr fontId="4"/>
  </si>
  <si>
    <t>会議室</t>
    <rPh sb="0" eb="3">
      <t>カイギシツ</t>
    </rPh>
    <phoneticPr fontId="4"/>
  </si>
  <si>
    <t>会議室</t>
    <rPh sb="0" eb="3">
      <t>カイギシツ</t>
    </rPh>
    <phoneticPr fontId="4"/>
  </si>
  <si>
    <t>免除なし料金</t>
    <rPh sb="0" eb="2">
      <t>メンジョ</t>
    </rPh>
    <rPh sb="4" eb="6">
      <t>リョウキン</t>
    </rPh>
    <phoneticPr fontId="4"/>
  </si>
  <si>
    <t>萩友会
教職員・学生が責任者
学校教育法第一条
リハ
（別表２）</t>
    <rPh sb="28" eb="30">
      <t>ベッピョウ</t>
    </rPh>
    <phoneticPr fontId="4"/>
  </si>
  <si>
    <t>萩友会
教職員・学生が責任者
学校教育法第一条
本番
（別表２）</t>
    <rPh sb="0" eb="1">
      <t>ハギ</t>
    </rPh>
    <rPh sb="1" eb="2">
      <t>トモ</t>
    </rPh>
    <rPh sb="2" eb="3">
      <t>カイ</t>
    </rPh>
    <rPh sb="4" eb="7">
      <t>キョウショクイン</t>
    </rPh>
    <rPh sb="8" eb="10">
      <t>ガクセイ</t>
    </rPh>
    <rPh sb="11" eb="14">
      <t>セキニンシャ</t>
    </rPh>
    <rPh sb="15" eb="17">
      <t>ガッコウ</t>
    </rPh>
    <rPh sb="17" eb="20">
      <t>キョウイクホウ</t>
    </rPh>
    <rPh sb="20" eb="21">
      <t>ダイ</t>
    </rPh>
    <rPh sb="21" eb="22">
      <t>1</t>
    </rPh>
    <rPh sb="22" eb="23">
      <t>ジョウ</t>
    </rPh>
    <rPh sb="24" eb="26">
      <t>ホンバン</t>
    </rPh>
    <rPh sb="28" eb="30">
      <t>ベッピョウ</t>
    </rPh>
    <phoneticPr fontId="4"/>
  </si>
  <si>
    <t>所在地
または住所</t>
    <rPh sb="0" eb="3">
      <t>ショザイチ</t>
    </rPh>
    <rPh sb="7" eb="9">
      <t>ジュウショ</t>
    </rPh>
    <phoneticPr fontId="4"/>
  </si>
  <si>
    <t>免除なし料金</t>
    <rPh sb="0" eb="2">
      <t>メンジョ</t>
    </rPh>
    <rPh sb="4" eb="6">
      <t>リョウキン</t>
    </rPh>
    <phoneticPr fontId="4"/>
  </si>
  <si>
    <t>利用者区分</t>
    <rPh sb="0" eb="3">
      <t>リヨウシャ</t>
    </rPh>
    <rPh sb="3" eb="5">
      <t>クブン</t>
    </rPh>
    <phoneticPr fontId="4"/>
  </si>
  <si>
    <t>免除区分</t>
    <rPh sb="0" eb="2">
      <t>メンジョ</t>
    </rPh>
    <rPh sb="2" eb="4">
      <t>クブン</t>
    </rPh>
    <phoneticPr fontId="4"/>
  </si>
  <si>
    <t>情報公開の
可否</t>
    <rPh sb="0" eb="2">
      <t>ジョウホウ</t>
    </rPh>
    <rPh sb="2" eb="4">
      <t>コウカイ</t>
    </rPh>
    <rPh sb="6" eb="8">
      <t>カヒ</t>
    </rPh>
    <phoneticPr fontId="4"/>
  </si>
  <si>
    <t>催事担当者</t>
    <rPh sb="0" eb="2">
      <t>サイジ</t>
    </rPh>
    <rPh sb="2" eb="5">
      <t>タントウシャ</t>
    </rPh>
    <phoneticPr fontId="4"/>
  </si>
  <si>
    <t>開催時間</t>
    <rPh sb="0" eb="2">
      <t>カイサイ</t>
    </rPh>
    <rPh sb="2" eb="4">
      <t>ジカン</t>
    </rPh>
    <phoneticPr fontId="4"/>
  </si>
  <si>
    <t>開場</t>
    <rPh sb="0" eb="2">
      <t>カイジョウ</t>
    </rPh>
    <phoneticPr fontId="4"/>
  </si>
  <si>
    <t>開始</t>
    <rPh sb="0" eb="2">
      <t>カイシ</t>
    </rPh>
    <phoneticPr fontId="4"/>
  </si>
  <si>
    <t>退館完了</t>
    <rPh sb="0" eb="2">
      <t>タイカン</t>
    </rPh>
    <rPh sb="2" eb="4">
      <t>カンリョウ</t>
    </rPh>
    <phoneticPr fontId="4"/>
  </si>
  <si>
    <t>※開場から来場者の退館が完了するまでの時間をご記入ください。</t>
    <rPh sb="1" eb="3">
      <t>カイジョウ</t>
    </rPh>
    <rPh sb="5" eb="8">
      <t>ライジョウシャ</t>
    </rPh>
    <rPh sb="9" eb="10">
      <t>タイ</t>
    </rPh>
    <rPh sb="10" eb="11">
      <t>カン</t>
    </rPh>
    <rPh sb="12" eb="14">
      <t>カンリョウ</t>
    </rPh>
    <rPh sb="19" eb="21">
      <t>ジカン</t>
    </rPh>
    <rPh sb="23" eb="25">
      <t>キニュウ</t>
    </rPh>
    <phoneticPr fontId="4"/>
  </si>
  <si>
    <t>のセルを範囲選択→コピー　</t>
    <rPh sb="4" eb="6">
      <t>ハンイ</t>
    </rPh>
    <rPh sb="6" eb="8">
      <t>センタク</t>
    </rPh>
    <phoneticPr fontId="4"/>
  </si>
  <si>
    <r>
      <t>【会議室・応接室】</t>
    </r>
    <r>
      <rPr>
        <sz val="10"/>
        <color theme="1"/>
        <rFont val="ＭＳ Ｐゴシック"/>
        <family val="3"/>
        <charset val="128"/>
      </rPr>
      <t>ホール使用を伴わない夜間の使用はできません。</t>
    </r>
    <rPh sb="1" eb="3">
      <t>カイギ</t>
    </rPh>
    <rPh sb="3" eb="4">
      <t>シツ</t>
    </rPh>
    <rPh sb="5" eb="8">
      <t>オウセツシツ</t>
    </rPh>
    <rPh sb="12" eb="14">
      <t>シヨウ</t>
    </rPh>
    <rPh sb="15" eb="16">
      <t>トモナ</t>
    </rPh>
    <rPh sb="19" eb="21">
      <t>ヤカン</t>
    </rPh>
    <rPh sb="22" eb="24">
      <t>シヨウ</t>
    </rPh>
    <phoneticPr fontId="4"/>
  </si>
  <si>
    <t>-</t>
    <phoneticPr fontId="4"/>
  </si>
  <si>
    <t>付帯設備備品使用料</t>
    <rPh sb="0" eb="2">
      <t>フタイ</t>
    </rPh>
    <rPh sb="2" eb="4">
      <t>セツビ</t>
    </rPh>
    <rPh sb="4" eb="6">
      <t>ビヒン</t>
    </rPh>
    <rPh sb="6" eb="9">
      <t>シヨウリョウ</t>
    </rPh>
    <phoneticPr fontId="4"/>
  </si>
  <si>
    <t>施設使用料（基本料）のみ</t>
    <rPh sb="0" eb="2">
      <t>シセツ</t>
    </rPh>
    <rPh sb="2" eb="4">
      <t>シヨウ</t>
    </rPh>
    <rPh sb="4" eb="5">
      <t>リョウ</t>
    </rPh>
    <rPh sb="6" eb="9">
      <t>キホンリョウ</t>
    </rPh>
    <phoneticPr fontId="4"/>
  </si>
  <si>
    <t>合計</t>
    <rPh sb="0" eb="2">
      <t>ゴウケイ</t>
    </rPh>
    <phoneticPr fontId="4"/>
  </si>
  <si>
    <t>付帯設備備品使用料</t>
    <phoneticPr fontId="4"/>
  </si>
  <si>
    <t>使用料は別添内訳書のとおりとし、本学の発する請求書により、指定期日までに支払わなければならない。なお、使用者が学内部局等にあっては、請求書による支払いに代えて、所定の振替手続きによらなければならない。</t>
    <rPh sb="0" eb="2">
      <t>シヨウ</t>
    </rPh>
    <rPh sb="2" eb="3">
      <t>リョウ</t>
    </rPh>
    <rPh sb="4" eb="6">
      <t>ベッテン</t>
    </rPh>
    <rPh sb="6" eb="9">
      <t>ウチワケショ</t>
    </rPh>
    <rPh sb="16" eb="18">
      <t>ホンガク</t>
    </rPh>
    <rPh sb="17" eb="18">
      <t>キホン</t>
    </rPh>
    <phoneticPr fontId="3"/>
  </si>
  <si>
    <t>東北大学百周年記念会館使用料金　内訳書</t>
    <rPh sb="13" eb="15">
      <t>リョウキン</t>
    </rPh>
    <rPh sb="16" eb="19">
      <t>ウチワケショ</t>
    </rPh>
    <phoneticPr fontId="4"/>
  </si>
  <si>
    <t>ファイル「○年度利用者管理台帳」に値をコピーする</t>
    <rPh sb="6" eb="7">
      <t>ネン</t>
    </rPh>
    <rPh sb="7" eb="8">
      <t>ド</t>
    </rPh>
    <rPh sb="8" eb="11">
      <t>リヨウシャ</t>
    </rPh>
    <rPh sb="11" eb="13">
      <t>カンリ</t>
    </rPh>
    <rPh sb="13" eb="15">
      <t>ダイチョウ</t>
    </rPh>
    <rPh sb="17" eb="18">
      <t>アタイ</t>
    </rPh>
    <phoneticPr fontId="4"/>
  </si>
  <si>
    <t>【使用設備備品】</t>
    <rPh sb="1" eb="3">
      <t>シヨウ</t>
    </rPh>
    <rPh sb="3" eb="5">
      <t>セツビ</t>
    </rPh>
    <rPh sb="5" eb="7">
      <t>ビヒン</t>
    </rPh>
    <phoneticPr fontId="4"/>
  </si>
  <si>
    <t>金額</t>
    <rPh sb="0" eb="2">
      <t>キンガク</t>
    </rPh>
    <phoneticPr fontId="4"/>
  </si>
  <si>
    <t>計</t>
    <rPh sb="0" eb="1">
      <t>ケイ</t>
    </rPh>
    <phoneticPr fontId="4"/>
  </si>
  <si>
    <t>申込数量</t>
    <rPh sb="0" eb="2">
      <t>モウシコミ</t>
    </rPh>
    <rPh sb="2" eb="4">
      <t>スウリョウ</t>
    </rPh>
    <phoneticPr fontId="4"/>
  </si>
  <si>
    <t>単価</t>
    <rPh sb="0" eb="2">
      <t>タンカ</t>
    </rPh>
    <phoneticPr fontId="4"/>
  </si>
  <si>
    <t>単位</t>
    <rPh sb="0" eb="2">
      <t>タンイ</t>
    </rPh>
    <phoneticPr fontId="4"/>
  </si>
  <si>
    <t>1台1回</t>
    <rPh sb="1" eb="2">
      <t>ダイ</t>
    </rPh>
    <rPh sb="3" eb="4">
      <t>カイ</t>
    </rPh>
    <phoneticPr fontId="4"/>
  </si>
  <si>
    <t>品名</t>
    <rPh sb="0" eb="2">
      <t>ヒンメイ</t>
    </rPh>
    <phoneticPr fontId="4"/>
  </si>
  <si>
    <t>司会者卓</t>
    <rPh sb="0" eb="2">
      <t>シカイ</t>
    </rPh>
    <rPh sb="2" eb="3">
      <t>シャ</t>
    </rPh>
    <rPh sb="3" eb="4">
      <t>タク</t>
    </rPh>
    <phoneticPr fontId="4"/>
  </si>
  <si>
    <t>譜面台（楽士）</t>
    <rPh sb="0" eb="2">
      <t>フメン</t>
    </rPh>
    <rPh sb="2" eb="3">
      <t>ダイ</t>
    </rPh>
    <rPh sb="4" eb="6">
      <t>ガクシ</t>
    </rPh>
    <phoneticPr fontId="4"/>
  </si>
  <si>
    <t>指揮台（譜面台付）</t>
    <rPh sb="0" eb="2">
      <t>シキ</t>
    </rPh>
    <rPh sb="2" eb="3">
      <t>ダイ</t>
    </rPh>
    <rPh sb="4" eb="6">
      <t>フメン</t>
    </rPh>
    <rPh sb="6" eb="7">
      <t>ダイ</t>
    </rPh>
    <rPh sb="7" eb="8">
      <t>ツ</t>
    </rPh>
    <phoneticPr fontId="4"/>
  </si>
  <si>
    <t>金屏風（ホール用）</t>
    <rPh sb="0" eb="1">
      <t>キン</t>
    </rPh>
    <rPh sb="1" eb="3">
      <t>ビョウブ</t>
    </rPh>
    <rPh sb="7" eb="8">
      <t>ヨウ</t>
    </rPh>
    <phoneticPr fontId="4"/>
  </si>
  <si>
    <t>譜面灯</t>
    <rPh sb="0" eb="2">
      <t>フメン</t>
    </rPh>
    <rPh sb="2" eb="3">
      <t>トウ</t>
    </rPh>
    <phoneticPr fontId="4"/>
  </si>
  <si>
    <t>舞台設備</t>
    <rPh sb="0" eb="2">
      <t>ブタイ</t>
    </rPh>
    <rPh sb="2" eb="4">
      <t>セツビ</t>
    </rPh>
    <phoneticPr fontId="4"/>
  </si>
  <si>
    <t>1組1回</t>
    <rPh sb="1" eb="2">
      <t>クミ</t>
    </rPh>
    <rPh sb="3" eb="4">
      <t>カイ</t>
    </rPh>
    <phoneticPr fontId="4"/>
  </si>
  <si>
    <t>1双1回</t>
    <rPh sb="1" eb="2">
      <t>ソウ</t>
    </rPh>
    <rPh sb="3" eb="4">
      <t>カイ</t>
    </rPh>
    <phoneticPr fontId="4"/>
  </si>
  <si>
    <t>1個1回</t>
    <rPh sb="1" eb="2">
      <t>コ</t>
    </rPh>
    <rPh sb="3" eb="4">
      <t>カイ</t>
    </rPh>
    <phoneticPr fontId="4"/>
  </si>
  <si>
    <t>ピアノ</t>
    <phoneticPr fontId="4"/>
  </si>
  <si>
    <t>スタインウェイ（ホール：フルコンサート用）</t>
    <rPh sb="19" eb="20">
      <t>ヨウ</t>
    </rPh>
    <phoneticPr fontId="4"/>
  </si>
  <si>
    <t>電子・ローランド</t>
    <rPh sb="0" eb="2">
      <t>デンシ</t>
    </rPh>
    <phoneticPr fontId="4"/>
  </si>
  <si>
    <t>エレクトーン</t>
    <phoneticPr fontId="4"/>
  </si>
  <si>
    <t>ヤマハ・ELS-01X　</t>
    <phoneticPr fontId="4"/>
  </si>
  <si>
    <t>楽器設備</t>
    <rPh sb="0" eb="2">
      <t>ガッキ</t>
    </rPh>
    <rPh sb="2" eb="4">
      <t>セツビ</t>
    </rPh>
    <phoneticPr fontId="4"/>
  </si>
  <si>
    <t>センターピンスポットライト クセノン2Kｗ（ホール：2台）</t>
    <phoneticPr fontId="4"/>
  </si>
  <si>
    <t>プロジェクタ（会議室：DLP方式4,000ルーメン）</t>
    <phoneticPr fontId="4"/>
  </si>
  <si>
    <t>プロジェクタ（会議室：液晶 3,200ルーメン）</t>
    <phoneticPr fontId="4"/>
  </si>
  <si>
    <t>スクリーン（ホール：W11m×H7.5m）</t>
    <phoneticPr fontId="4"/>
  </si>
  <si>
    <t>スクリーン（会議室：電動式　100型）</t>
    <phoneticPr fontId="4"/>
  </si>
  <si>
    <t>スクリーン（会議室：三脚スタンド80型）</t>
    <phoneticPr fontId="4"/>
  </si>
  <si>
    <t>合　　　計</t>
    <rPh sb="0" eb="1">
      <t>ゴウ</t>
    </rPh>
    <rPh sb="4" eb="5">
      <t>ケイ</t>
    </rPh>
    <phoneticPr fontId="4"/>
  </si>
  <si>
    <t>照明・映像設備</t>
    <rPh sb="0" eb="2">
      <t>ショウメイ</t>
    </rPh>
    <rPh sb="3" eb="5">
      <t>エイゾウ</t>
    </rPh>
    <rPh sb="5" eb="7">
      <t>セツビ</t>
    </rPh>
    <phoneticPr fontId="4"/>
  </si>
  <si>
    <t>開館前延長</t>
    <rPh sb="0" eb="2">
      <t>カイカン</t>
    </rPh>
    <rPh sb="2" eb="3">
      <t>マエ</t>
    </rPh>
    <rPh sb="3" eb="5">
      <t>エンチョウ</t>
    </rPh>
    <phoneticPr fontId="4"/>
  </si>
  <si>
    <t>18:00～21:30</t>
    <phoneticPr fontId="4"/>
  </si>
  <si>
    <t>13:00～17:00</t>
    <phoneticPr fontId="4"/>
  </si>
  <si>
    <t>9:30～12:00</t>
    <phoneticPr fontId="4"/>
  </si>
  <si>
    <t>開館前延長</t>
    <rPh sb="0" eb="2">
      <t>カイカン</t>
    </rPh>
    <rPh sb="2" eb="3">
      <t>マエ</t>
    </rPh>
    <rPh sb="3" eb="5">
      <t>エンチョウ</t>
    </rPh>
    <phoneticPr fontId="4"/>
  </si>
  <si>
    <t>使用時間</t>
    <rPh sb="0" eb="2">
      <t>シヨウ</t>
    </rPh>
    <rPh sb="2" eb="4">
      <t>ジカン</t>
    </rPh>
    <phoneticPr fontId="4"/>
  </si>
  <si>
    <t>使用時間</t>
    <rPh sb="0" eb="2">
      <t>シヨウ</t>
    </rPh>
    <rPh sb="2" eb="4">
      <t>ジカン</t>
    </rPh>
    <phoneticPr fontId="4"/>
  </si>
  <si>
    <t>応接室</t>
    <rPh sb="0" eb="3">
      <t>オウセツシツ</t>
    </rPh>
    <phoneticPr fontId="4"/>
  </si>
  <si>
    <t>応接室</t>
    <rPh sb="0" eb="2">
      <t>オウセツ</t>
    </rPh>
    <rPh sb="2" eb="3">
      <t>シツ</t>
    </rPh>
    <phoneticPr fontId="4"/>
  </si>
  <si>
    <t>※「有」の場合は速やかに、「未定」の場合は、決まり次第申請書を提出してください。</t>
    <rPh sb="14" eb="16">
      <t>ミテイ</t>
    </rPh>
    <rPh sb="18" eb="20">
      <t>バアイ</t>
    </rPh>
    <rPh sb="22" eb="23">
      <t>キ</t>
    </rPh>
    <rPh sb="25" eb="27">
      <t>シダイ</t>
    </rPh>
    <phoneticPr fontId="4"/>
  </si>
  <si>
    <t>東北大学百周年記念会館使用延長届</t>
    <rPh sb="0" eb="2">
      <t>トウホク</t>
    </rPh>
    <rPh sb="2" eb="4">
      <t>ダイガク</t>
    </rPh>
    <rPh sb="4" eb="7">
      <t>ヒャクシュウネン</t>
    </rPh>
    <rPh sb="7" eb="9">
      <t>キネン</t>
    </rPh>
    <rPh sb="9" eb="11">
      <t>カイカン</t>
    </rPh>
    <rPh sb="11" eb="13">
      <t>シヨウ</t>
    </rPh>
    <rPh sb="13" eb="15">
      <t>エンチョウ</t>
    </rPh>
    <rPh sb="15" eb="16">
      <t>トドケ</t>
    </rPh>
    <phoneticPr fontId="4"/>
  </si>
  <si>
    <t>　百周年記念会館を下記のとおり延長して使用したので、届け出ます。</t>
    <rPh sb="1" eb="4">
      <t>ヒャクシュウネン</t>
    </rPh>
    <rPh sb="4" eb="6">
      <t>キネン</t>
    </rPh>
    <rPh sb="6" eb="8">
      <t>カイカン</t>
    </rPh>
    <rPh sb="9" eb="11">
      <t>カキ</t>
    </rPh>
    <rPh sb="15" eb="17">
      <t>エンチョウ</t>
    </rPh>
    <rPh sb="19" eb="21">
      <t>シヨウ</t>
    </rPh>
    <rPh sb="26" eb="27">
      <t>トド</t>
    </rPh>
    <rPh sb="28" eb="29">
      <t>デ</t>
    </rPh>
    <phoneticPr fontId="4"/>
  </si>
  <si>
    <t>12:00～13:00</t>
    <phoneticPr fontId="4"/>
  </si>
  <si>
    <t>使用区分</t>
    <rPh sb="0" eb="2">
      <t>シヨウ</t>
    </rPh>
    <rPh sb="2" eb="4">
      <t>クブン</t>
    </rPh>
    <phoneticPr fontId="4"/>
  </si>
  <si>
    <t>17:00～18:00</t>
    <phoneticPr fontId="4"/>
  </si>
  <si>
    <t>21:30～22:30</t>
    <phoneticPr fontId="4"/>
  </si>
  <si>
    <t>延長料金</t>
    <rPh sb="0" eb="2">
      <t>エンチョウ</t>
    </rPh>
    <rPh sb="2" eb="4">
      <t>リョウキン</t>
    </rPh>
    <phoneticPr fontId="4"/>
  </si>
  <si>
    <t>受付日</t>
    <rPh sb="0" eb="3">
      <t>ウケツケビ</t>
    </rPh>
    <phoneticPr fontId="4"/>
  </si>
  <si>
    <t>署名</t>
    <rPh sb="0" eb="2">
      <t>ショメイ</t>
    </rPh>
    <phoneticPr fontId="4"/>
  </si>
  <si>
    <t>使用施設</t>
    <rPh sb="0" eb="2">
      <t>シヨウ</t>
    </rPh>
    <rPh sb="2" eb="4">
      <t>シセツ</t>
    </rPh>
    <phoneticPr fontId="4"/>
  </si>
  <si>
    <t>12:00～13:00</t>
    <phoneticPr fontId="4"/>
  </si>
  <si>
    <t>17:00～18:00</t>
    <phoneticPr fontId="4"/>
  </si>
  <si>
    <t>17:00～18:00</t>
    <phoneticPr fontId="4"/>
  </si>
  <si>
    <t>12:00～13:00</t>
    <phoneticPr fontId="4"/>
  </si>
  <si>
    <t>21:30～22:30</t>
    <phoneticPr fontId="4"/>
  </si>
  <si>
    <t>応接室</t>
    <rPh sb="0" eb="3">
      <t>オウセツシツ</t>
    </rPh>
    <phoneticPr fontId="4"/>
  </si>
  <si>
    <t>会議室</t>
    <rPh sb="0" eb="2">
      <t>カイギ</t>
    </rPh>
    <rPh sb="2" eb="3">
      <t>シツ</t>
    </rPh>
    <phoneticPr fontId="4"/>
  </si>
  <si>
    <t>本番/リハ or 会議室/応接室</t>
    <rPh sb="0" eb="2">
      <t>ホンバン</t>
    </rPh>
    <rPh sb="9" eb="11">
      <t>カイギ</t>
    </rPh>
    <rPh sb="11" eb="12">
      <t>シツ</t>
    </rPh>
    <rPh sb="13" eb="16">
      <t>オウセツシツ</t>
    </rPh>
    <phoneticPr fontId="4"/>
  </si>
  <si>
    <t>舞踊</t>
    <rPh sb="0" eb="2">
      <t>ブヨウ</t>
    </rPh>
    <phoneticPr fontId="4"/>
  </si>
  <si>
    <t>ホール延長料金</t>
    <rPh sb="3" eb="5">
      <t>エンチョウ</t>
    </rPh>
    <rPh sb="5" eb="7">
      <t>リョウキン</t>
    </rPh>
    <phoneticPr fontId="4"/>
  </si>
  <si>
    <t>免除なしホール延長料金</t>
    <rPh sb="0" eb="2">
      <t>メンジョ</t>
    </rPh>
    <rPh sb="7" eb="9">
      <t>エンチョウ</t>
    </rPh>
    <rPh sb="9" eb="11">
      <t>リョウキン</t>
    </rPh>
    <phoneticPr fontId="4"/>
  </si>
  <si>
    <t>会議室延長料金</t>
    <rPh sb="0" eb="3">
      <t>カイギシツ</t>
    </rPh>
    <rPh sb="3" eb="5">
      <t>エンチョウ</t>
    </rPh>
    <rPh sb="5" eb="7">
      <t>リョウキン</t>
    </rPh>
    <phoneticPr fontId="4"/>
  </si>
  <si>
    <t>免除なし会議室延長料金</t>
    <rPh sb="0" eb="2">
      <t>メンジョ</t>
    </rPh>
    <rPh sb="4" eb="7">
      <t>カイギシツ</t>
    </rPh>
    <rPh sb="7" eb="9">
      <t>エンチョウ</t>
    </rPh>
    <rPh sb="9" eb="11">
      <t>リョウキン</t>
    </rPh>
    <phoneticPr fontId="4"/>
  </si>
  <si>
    <t>応接室延長料金</t>
    <rPh sb="0" eb="3">
      <t>オウセツシツ</t>
    </rPh>
    <rPh sb="3" eb="5">
      <t>エンチョウ</t>
    </rPh>
    <rPh sb="5" eb="7">
      <t>リョウキン</t>
    </rPh>
    <phoneticPr fontId="4"/>
  </si>
  <si>
    <t>免除なし応接室延長料金</t>
    <rPh sb="0" eb="2">
      <t>メンジョ</t>
    </rPh>
    <rPh sb="4" eb="7">
      <t>オウセツシツ</t>
    </rPh>
    <rPh sb="7" eb="9">
      <t>エンチョウ</t>
    </rPh>
    <rPh sb="9" eb="11">
      <t>リョウキン</t>
    </rPh>
    <phoneticPr fontId="4"/>
  </si>
  <si>
    <t>　なお、延長使用に伴う諸負担金は、お支払いいたします。</t>
    <rPh sb="4" eb="6">
      <t>エンチョウ</t>
    </rPh>
    <rPh sb="6" eb="8">
      <t>シヨウ</t>
    </rPh>
    <rPh sb="9" eb="10">
      <t>トモナ</t>
    </rPh>
    <rPh sb="11" eb="12">
      <t>ショ</t>
    </rPh>
    <rPh sb="12" eb="15">
      <t>フタンキン</t>
    </rPh>
    <rPh sb="18" eb="20">
      <t>シハラ</t>
    </rPh>
    <phoneticPr fontId="4"/>
  </si>
  <si>
    <t>学友会加盟・準加盟団体又は部局等が認めた学生団体</t>
    <rPh sb="9" eb="11">
      <t>ダンタイ</t>
    </rPh>
    <rPh sb="11" eb="12">
      <t>マタ</t>
    </rPh>
    <phoneticPr fontId="4"/>
  </si>
  <si>
    <t>萩友会又は萩友会登録団体</t>
    <rPh sb="3" eb="4">
      <t>マタ</t>
    </rPh>
    <rPh sb="5" eb="6">
      <t>ハギ</t>
    </rPh>
    <rPh sb="6" eb="7">
      <t>トモ</t>
    </rPh>
    <rPh sb="7" eb="8">
      <t>カイ</t>
    </rPh>
    <phoneticPr fontId="4"/>
  </si>
  <si>
    <t>使用初日</t>
    <rPh sb="0" eb="2">
      <t>シヨウ</t>
    </rPh>
    <rPh sb="2" eb="4">
      <t>ショニチ</t>
    </rPh>
    <phoneticPr fontId="11"/>
  </si>
  <si>
    <t>使用最終日</t>
    <rPh sb="0" eb="2">
      <t>シヨウ</t>
    </rPh>
    <rPh sb="2" eb="5">
      <t>サイシュウビ</t>
    </rPh>
    <phoneticPr fontId="4"/>
  </si>
  <si>
    <t>選定会議用データ</t>
    <rPh sb="0" eb="2">
      <t>センテイ</t>
    </rPh>
    <rPh sb="2" eb="5">
      <t>カイギヨウ</t>
    </rPh>
    <phoneticPr fontId="4"/>
  </si>
  <si>
    <t>催事名称</t>
    <rPh sb="0" eb="2">
      <t>サイジ</t>
    </rPh>
    <rPh sb="2" eb="4">
      <t>メイショウ</t>
    </rPh>
    <phoneticPr fontId="4"/>
  </si>
  <si>
    <t>主催者（団体）名</t>
    <rPh sb="0" eb="3">
      <t>シュサイシャ</t>
    </rPh>
    <rPh sb="4" eb="6">
      <t>ダンタイ</t>
    </rPh>
    <rPh sb="7" eb="8">
      <t>メイ</t>
    </rPh>
    <phoneticPr fontId="4"/>
  </si>
  <si>
    <t>責任者</t>
    <rPh sb="0" eb="3">
      <t>セキニンシャ</t>
    </rPh>
    <phoneticPr fontId="4"/>
  </si>
  <si>
    <t>（団体との関係）</t>
    <rPh sb="1" eb="3">
      <t>ダンタイ</t>
    </rPh>
    <rPh sb="5" eb="7">
      <t>カンケイ</t>
    </rPh>
    <phoneticPr fontId="4"/>
  </si>
  <si>
    <t>備考</t>
    <rPh sb="0" eb="2">
      <t>ビコウ</t>
    </rPh>
    <phoneticPr fontId="4"/>
  </si>
  <si>
    <t>別記様式第2号</t>
    <phoneticPr fontId="4"/>
  </si>
  <si>
    <t>別記様式第2号</t>
    <phoneticPr fontId="4"/>
  </si>
  <si>
    <t>別記様式第1号</t>
    <phoneticPr fontId="4"/>
  </si>
  <si>
    <t>　百周年記念会館を下記のとおり使用したいので、申し込みます。</t>
    <phoneticPr fontId="4"/>
  </si>
  <si>
    <t>【使用申込者】</t>
    <rPh sb="1" eb="3">
      <t>シヨウ</t>
    </rPh>
    <rPh sb="3" eb="5">
      <t>モウシコミ</t>
    </rPh>
    <rPh sb="5" eb="6">
      <t>シャ</t>
    </rPh>
    <phoneticPr fontId="4"/>
  </si>
  <si>
    <t>【使用条件】</t>
    <rPh sb="1" eb="3">
      <t>シヨウ</t>
    </rPh>
    <rPh sb="3" eb="5">
      <t>ジョウケン</t>
    </rPh>
    <phoneticPr fontId="4"/>
  </si>
  <si>
    <t>使用者は、使用日時等を変更し、又は使用を取りやめる場合は、使用日の3ヶ月前までに館長に申し出て、その承認をうけなければならない。</t>
    <rPh sb="0" eb="3">
      <t>シヨウシャ</t>
    </rPh>
    <rPh sb="5" eb="7">
      <t>シヨウ</t>
    </rPh>
    <rPh sb="7" eb="10">
      <t>ニチジナド</t>
    </rPh>
    <rPh sb="11" eb="13">
      <t>ヘンコウ</t>
    </rPh>
    <rPh sb="15" eb="16">
      <t>マタ</t>
    </rPh>
    <rPh sb="17" eb="19">
      <t>シヨウ</t>
    </rPh>
    <rPh sb="20" eb="21">
      <t>ト</t>
    </rPh>
    <rPh sb="25" eb="27">
      <t>バアイ</t>
    </rPh>
    <rPh sb="29" eb="32">
      <t>シヨウビ</t>
    </rPh>
    <rPh sb="35" eb="37">
      <t>ゲツマエ</t>
    </rPh>
    <rPh sb="36" eb="37">
      <t>マエ</t>
    </rPh>
    <rPh sb="40" eb="42">
      <t>カンチョウ</t>
    </rPh>
    <phoneticPr fontId="3"/>
  </si>
  <si>
    <t>東北大学百周年記念会館使用変更届 兼 承認書</t>
    <rPh sb="13" eb="16">
      <t>ヘンコウトドケ</t>
    </rPh>
    <rPh sb="17" eb="18">
      <t>ケン</t>
    </rPh>
    <rPh sb="19" eb="21">
      <t>ショウニン</t>
    </rPh>
    <rPh sb="21" eb="22">
      <t>ショ</t>
    </rPh>
    <phoneticPr fontId="4"/>
  </si>
  <si>
    <t>受理日</t>
    <rPh sb="0" eb="2">
      <t>ジュリ</t>
    </rPh>
    <phoneticPr fontId="4"/>
  </si>
  <si>
    <t>受理者</t>
    <rPh sb="0" eb="2">
      <t>ジュリ</t>
    </rPh>
    <phoneticPr fontId="4"/>
  </si>
  <si>
    <t>延長受理日</t>
    <rPh sb="0" eb="2">
      <t>エンチョウ</t>
    </rPh>
    <rPh sb="2" eb="4">
      <t>ジュリ</t>
    </rPh>
    <phoneticPr fontId="4"/>
  </si>
  <si>
    <t>延長受理者</t>
    <rPh sb="0" eb="2">
      <t>エンチョウ</t>
    </rPh>
    <rPh sb="2" eb="4">
      <t>ジュリ</t>
    </rPh>
    <phoneticPr fontId="4"/>
  </si>
  <si>
    <t>　先に許可がありました</t>
    <rPh sb="1" eb="2">
      <t>サキ</t>
    </rPh>
    <rPh sb="3" eb="5">
      <t>キョカ</t>
    </rPh>
    <phoneticPr fontId="4"/>
  </si>
  <si>
    <t>東北大学百周年記念会館使用料金　内訳書（変更後）</t>
    <rPh sb="13" eb="15">
      <t>リョウキン</t>
    </rPh>
    <rPh sb="16" eb="19">
      <t>ウチワケショ</t>
    </rPh>
    <rPh sb="20" eb="22">
      <t>ヘンコウ</t>
    </rPh>
    <rPh sb="22" eb="23">
      <t>ゴ</t>
    </rPh>
    <phoneticPr fontId="4"/>
  </si>
  <si>
    <t>　について、下記のとおり変更して使用するので届け出ます。</t>
    <phoneticPr fontId="4"/>
  </si>
  <si>
    <t>　なお、変更に伴う諸負担金は、お支払いいたします。</t>
    <rPh sb="4" eb="6">
      <t>ヘンコウ</t>
    </rPh>
    <rPh sb="7" eb="8">
      <t>トモナ</t>
    </rPh>
    <rPh sb="9" eb="10">
      <t>ショ</t>
    </rPh>
    <rPh sb="10" eb="13">
      <t>フタンキン</t>
    </rPh>
    <rPh sb="16" eb="18">
      <t>シハラ</t>
    </rPh>
    <phoneticPr fontId="4"/>
  </si>
  <si>
    <t>免除なし延長料金</t>
    <rPh sb="0" eb="2">
      <t>メンジョ</t>
    </rPh>
    <rPh sb="4" eb="6">
      <t>エンチョウ</t>
    </rPh>
    <rPh sb="6" eb="8">
      <t>リョウキン</t>
    </rPh>
    <phoneticPr fontId="4"/>
  </si>
  <si>
    <t>デジタルプロジェクタ（ホール：12,000ルーメン）</t>
    <phoneticPr fontId="4"/>
  </si>
  <si>
    <t>デジタルプロジェクタ（ホール：12,000ルーメン）</t>
    <phoneticPr fontId="4"/>
  </si>
  <si>
    <t>駐車場使用台数</t>
    <rPh sb="0" eb="3">
      <t>チュウシャジョウ</t>
    </rPh>
    <rPh sb="3" eb="5">
      <t>シヨウ</t>
    </rPh>
    <rPh sb="5" eb="7">
      <t>ダイスウ</t>
    </rPh>
    <phoneticPr fontId="4"/>
  </si>
  <si>
    <t>選定会議用：会議室最大値</t>
    <rPh sb="0" eb="2">
      <t>センテイ</t>
    </rPh>
    <rPh sb="2" eb="5">
      <t>カイギヨウ</t>
    </rPh>
    <rPh sb="6" eb="8">
      <t>カイギ</t>
    </rPh>
    <rPh sb="8" eb="9">
      <t>シツ</t>
    </rPh>
    <rPh sb="9" eb="12">
      <t>サイダイチ</t>
    </rPh>
    <phoneticPr fontId="4"/>
  </si>
  <si>
    <t>選定会議用：使用会議室の数</t>
    <rPh sb="0" eb="2">
      <t>センテイ</t>
    </rPh>
    <rPh sb="2" eb="5">
      <t>カイギヨウ</t>
    </rPh>
    <rPh sb="6" eb="8">
      <t>シヨウ</t>
    </rPh>
    <rPh sb="8" eb="11">
      <t>カイギシツ</t>
    </rPh>
    <rPh sb="12" eb="13">
      <t>カズ</t>
    </rPh>
    <phoneticPr fontId="4"/>
  </si>
  <si>
    <t>付帯設備備品使用申込書（確定）</t>
    <rPh sb="0" eb="2">
      <t>フタイ</t>
    </rPh>
    <rPh sb="2" eb="4">
      <t>セツビ</t>
    </rPh>
    <rPh sb="4" eb="6">
      <t>ビヒン</t>
    </rPh>
    <rPh sb="6" eb="8">
      <t>シヨウ</t>
    </rPh>
    <rPh sb="8" eb="11">
      <t>モウシコミショ</t>
    </rPh>
    <rPh sb="12" eb="14">
      <t>カクテイ</t>
    </rPh>
    <phoneticPr fontId="4"/>
  </si>
  <si>
    <t>付帯設備備品使用申込書</t>
    <rPh sb="0" eb="2">
      <t>フタイ</t>
    </rPh>
    <rPh sb="2" eb="4">
      <t>セツビ</t>
    </rPh>
    <rPh sb="4" eb="6">
      <t>ビヒン</t>
    </rPh>
    <rPh sb="6" eb="8">
      <t>シヨウ</t>
    </rPh>
    <rPh sb="8" eb="11">
      <t>モウシコミショ</t>
    </rPh>
    <phoneticPr fontId="4"/>
  </si>
  <si>
    <t>東北大学百周年記念会館使用変更届</t>
    <rPh sb="13" eb="16">
      <t>ヘンコウトドケ</t>
    </rPh>
    <phoneticPr fontId="4"/>
  </si>
  <si>
    <t>無料　・有料</t>
    <rPh sb="0" eb="2">
      <t>ムリョウ</t>
    </rPh>
    <rPh sb="4" eb="6">
      <t>ユウリョウ</t>
    </rPh>
    <phoneticPr fontId="4"/>
  </si>
  <si>
    <t>金額</t>
    <phoneticPr fontId="4"/>
  </si>
  <si>
    <t>円</t>
    <phoneticPr fontId="4"/>
  </si>
  <si>
    <t>入場料の額に段階がある場合には、最高の額をご記入ください。</t>
    <phoneticPr fontId="4"/>
  </si>
  <si>
    <t>準備・本番</t>
    <rPh sb="0" eb="2">
      <t>ジュンビ</t>
    </rPh>
    <rPh sb="3" eb="5">
      <t>ホンバン</t>
    </rPh>
    <phoneticPr fontId="4"/>
  </si>
  <si>
    <t>準備・本番・撤収</t>
    <rPh sb="0" eb="2">
      <t>ジュンビ</t>
    </rPh>
    <rPh sb="3" eb="5">
      <t>ホンバン</t>
    </rPh>
    <rPh sb="6" eb="8">
      <t>テッシュウ</t>
    </rPh>
    <phoneticPr fontId="4"/>
  </si>
  <si>
    <t>本番・撤収</t>
    <rPh sb="0" eb="2">
      <t>ホンバン</t>
    </rPh>
    <rPh sb="3" eb="5">
      <t>テッシュウ</t>
    </rPh>
    <phoneticPr fontId="4"/>
  </si>
  <si>
    <t>7:30～　・　8:00～　・　8:30～</t>
    <phoneticPr fontId="4"/>
  </si>
  <si>
    <t>会議室１</t>
    <rPh sb="0" eb="3">
      <t>カイギシツ</t>
    </rPh>
    <phoneticPr fontId="4"/>
  </si>
  <si>
    <t>会議室２</t>
    <rPh sb="0" eb="3">
      <t>カイギシツ</t>
    </rPh>
    <phoneticPr fontId="4"/>
  </si>
  <si>
    <t>会議室３</t>
    <rPh sb="0" eb="3">
      <t>カイギシツ</t>
    </rPh>
    <phoneticPr fontId="4"/>
  </si>
  <si>
    <t>7:30～</t>
    <phoneticPr fontId="4"/>
  </si>
  <si>
    <t>8:00～</t>
    <phoneticPr fontId="4"/>
  </si>
  <si>
    <t>8:30～</t>
    <phoneticPr fontId="4"/>
  </si>
  <si>
    <t>※午前区分に使用する部屋に適用</t>
    <phoneticPr fontId="4"/>
  </si>
  <si>
    <t>東北大学百周年記念会館使用申込書　兼　許可書</t>
    <phoneticPr fontId="4"/>
  </si>
  <si>
    <t>催事番号</t>
    <rPh sb="0" eb="2">
      <t>サイジ</t>
    </rPh>
    <rPh sb="2" eb="4">
      <t>バンゴウ</t>
    </rPh>
    <phoneticPr fontId="4"/>
  </si>
  <si>
    <t>選定会議</t>
    <rPh sb="0" eb="2">
      <t>センテイ</t>
    </rPh>
    <rPh sb="2" eb="4">
      <t>カイギ</t>
    </rPh>
    <phoneticPr fontId="4"/>
  </si>
  <si>
    <t>番号</t>
    <phoneticPr fontId="4"/>
  </si>
  <si>
    <t>催事番号</t>
    <rPh sb="0" eb="2">
      <t>サイジ</t>
    </rPh>
    <phoneticPr fontId="4"/>
  </si>
  <si>
    <t>変更回数</t>
    <rPh sb="0" eb="2">
      <t>ヘンコウ</t>
    </rPh>
    <rPh sb="2" eb="4">
      <t>カイスウ</t>
    </rPh>
    <phoneticPr fontId="4"/>
  </si>
  <si>
    <t>受理日</t>
    <rPh sb="0" eb="2">
      <t>ジュリ</t>
    </rPh>
    <rPh sb="2" eb="3">
      <t>ビ</t>
    </rPh>
    <phoneticPr fontId="4"/>
  </si>
  <si>
    <t>（会議室選択）</t>
    <rPh sb="1" eb="4">
      <t>カイギシツ</t>
    </rPh>
    <rPh sb="4" eb="6">
      <t>センタク</t>
    </rPh>
    <phoneticPr fontId="4"/>
  </si>
  <si>
    <t>（使用時間選択・午前使用の施設に適用）</t>
    <phoneticPr fontId="4"/>
  </si>
  <si>
    <t>（会議室選択）</t>
    <rPh sb="1" eb="4">
      <t>カイギシツ</t>
    </rPh>
    <rPh sb="4" eb="6">
      <t>センタク</t>
    </rPh>
    <phoneticPr fontId="4"/>
  </si>
  <si>
    <t>（使用時間選択・午前使用の施設に適用）</t>
    <phoneticPr fontId="4"/>
  </si>
  <si>
    <t>（使用時間選択・午前使用の施設に適用）</t>
    <phoneticPr fontId="4"/>
  </si>
  <si>
    <t>←決裁時は「○」、許可書印刷時「◎」を選択</t>
    <rPh sb="1" eb="3">
      <t>ケッサイ</t>
    </rPh>
    <rPh sb="3" eb="4">
      <t>ジ</t>
    </rPh>
    <rPh sb="9" eb="12">
      <t>キョカショ</t>
    </rPh>
    <rPh sb="12" eb="14">
      <t>インサツ</t>
    </rPh>
    <rPh sb="14" eb="15">
      <t>ジ</t>
    </rPh>
    <rPh sb="19" eb="21">
      <t>センタク</t>
    </rPh>
    <phoneticPr fontId="4"/>
  </si>
  <si>
    <t>←決裁時「○」、許可書印刷時「◎」</t>
    <rPh sb="1" eb="3">
      <t>ケッサイ</t>
    </rPh>
    <rPh sb="3" eb="4">
      <t>ジ</t>
    </rPh>
    <rPh sb="8" eb="11">
      <t>キョカショ</t>
    </rPh>
    <rPh sb="11" eb="13">
      <t>インサツ</t>
    </rPh>
    <rPh sb="13" eb="14">
      <t>ジ</t>
    </rPh>
    <phoneticPr fontId="4"/>
  </si>
  <si>
    <t>受付者</t>
    <rPh sb="0" eb="2">
      <t>ウケツケ</t>
    </rPh>
    <rPh sb="2" eb="3">
      <t>シャ</t>
    </rPh>
    <phoneticPr fontId="20"/>
  </si>
  <si>
    <t>番号</t>
    <rPh sb="0" eb="2">
      <t>バンゴウ</t>
    </rPh>
    <phoneticPr fontId="20"/>
  </si>
  <si>
    <t>【申請者情報】</t>
    <rPh sb="1" eb="4">
      <t>シンセイシャ</t>
    </rPh>
    <rPh sb="4" eb="6">
      <t>ジョウホウ</t>
    </rPh>
    <phoneticPr fontId="12"/>
  </si>
  <si>
    <t>【催事情報】</t>
    <rPh sb="1" eb="3">
      <t>サイジ</t>
    </rPh>
    <rPh sb="3" eb="5">
      <t>ジョウホウ</t>
    </rPh>
    <phoneticPr fontId="12"/>
  </si>
  <si>
    <t>【適用される免除の種別】</t>
    <rPh sb="1" eb="3">
      <t>テキヨウ</t>
    </rPh>
    <rPh sb="6" eb="8">
      <t>メンジョ</t>
    </rPh>
    <rPh sb="9" eb="11">
      <t>シュベツ</t>
    </rPh>
    <phoneticPr fontId="12"/>
  </si>
  <si>
    <t>以上</t>
    <rPh sb="0" eb="2">
      <t>イジョウ</t>
    </rPh>
    <phoneticPr fontId="12"/>
  </si>
  <si>
    <t>【事務室使用欄】</t>
    <rPh sb="1" eb="4">
      <t>ジムシツ</t>
    </rPh>
    <rPh sb="4" eb="6">
      <t>シヨウ</t>
    </rPh>
    <rPh sb="6" eb="7">
      <t>ラン</t>
    </rPh>
    <phoneticPr fontId="4"/>
  </si>
  <si>
    <t>「百周年記念使用料に関する取扱いについて」の以下に該当。</t>
    <rPh sb="1" eb="2">
      <t>ヒャク</t>
    </rPh>
    <rPh sb="2" eb="4">
      <t>シュウネン</t>
    </rPh>
    <rPh sb="4" eb="6">
      <t>キネン</t>
    </rPh>
    <rPh sb="6" eb="8">
      <t>シヨウ</t>
    </rPh>
    <rPh sb="8" eb="9">
      <t>リョウ</t>
    </rPh>
    <rPh sb="10" eb="11">
      <t>カン</t>
    </rPh>
    <rPh sb="13" eb="15">
      <t>トリアツカ</t>
    </rPh>
    <rPh sb="22" eb="24">
      <t>イカ</t>
    </rPh>
    <rPh sb="25" eb="27">
      <t>ガイトウ</t>
    </rPh>
    <phoneticPr fontId="4"/>
  </si>
  <si>
    <t>基本料金から維持管理費を減じた金額の全額を免除</t>
  </si>
  <si>
    <t>基本料金から維持管理費を減じた金額の半額を免除する</t>
    <phoneticPr fontId="12"/>
  </si>
  <si>
    <t>基本料金から維持管理費を減じた金額の１割を免除する</t>
    <phoneticPr fontId="12"/>
  </si>
  <si>
    <t>　百周年記念会館の使用にあたり、下記のとおり基本料金の免除を申請します。</t>
    <rPh sb="9" eb="11">
      <t>シヨウ</t>
    </rPh>
    <rPh sb="22" eb="24">
      <t>キホン</t>
    </rPh>
    <rPh sb="24" eb="26">
      <t>リョウキン</t>
    </rPh>
    <rPh sb="27" eb="29">
      <t>メンジョ</t>
    </rPh>
    <rPh sb="30" eb="32">
      <t>シンセイ</t>
    </rPh>
    <phoneticPr fontId="4"/>
  </si>
  <si>
    <t>東北大学百周年記念会館使用に伴う基本料金の免除申請書</t>
    <rPh sb="0" eb="2">
      <t>トウホク</t>
    </rPh>
    <rPh sb="2" eb="4">
      <t>ダイガク</t>
    </rPh>
    <rPh sb="4" eb="5">
      <t>ヒャク</t>
    </rPh>
    <rPh sb="5" eb="7">
      <t>シュウネン</t>
    </rPh>
    <rPh sb="7" eb="9">
      <t>キネン</t>
    </rPh>
    <rPh sb="9" eb="11">
      <t>カイカン</t>
    </rPh>
    <rPh sb="11" eb="13">
      <t>シヨウ</t>
    </rPh>
    <rPh sb="14" eb="15">
      <t>トモナ</t>
    </rPh>
    <rPh sb="16" eb="18">
      <t>キホン</t>
    </rPh>
    <rPh sb="18" eb="20">
      <t>リョウキン</t>
    </rPh>
    <rPh sb="21" eb="23">
      <t>メンジョ</t>
    </rPh>
    <rPh sb="23" eb="25">
      <t>シンセイ</t>
    </rPh>
    <rPh sb="25" eb="26">
      <t>ショ</t>
    </rPh>
    <phoneticPr fontId="20"/>
  </si>
  <si>
    <t>主催団体名</t>
    <rPh sb="0" eb="2">
      <t>シュサイ</t>
    </rPh>
    <rPh sb="2" eb="4">
      <t>ダンタイ</t>
    </rPh>
    <rPh sb="4" eb="5">
      <t>メイ</t>
    </rPh>
    <phoneticPr fontId="4"/>
  </si>
  <si>
    <t>催事責任者</t>
    <rPh sb="0" eb="2">
      <t>サイジ</t>
    </rPh>
    <rPh sb="2" eb="5">
      <t>セキニンシャ</t>
    </rPh>
    <phoneticPr fontId="4"/>
  </si>
  <si>
    <t>免除申請
受付日</t>
    <rPh sb="0" eb="2">
      <t>メンジョ</t>
    </rPh>
    <rPh sb="2" eb="4">
      <t>シンセイ</t>
    </rPh>
    <rPh sb="5" eb="8">
      <t>ウケツケビ</t>
    </rPh>
    <phoneticPr fontId="20"/>
  </si>
  <si>
    <t>使用者は、当該施設を指定する使用目的以外に使用してはならない。また第三者に転貸してはならない。</t>
    <rPh sb="0" eb="3">
      <t>シヨウシャ</t>
    </rPh>
    <rPh sb="5" eb="7">
      <t>トウガイ</t>
    </rPh>
    <rPh sb="7" eb="9">
      <t>シセツ</t>
    </rPh>
    <rPh sb="10" eb="12">
      <t>シテイ</t>
    </rPh>
    <rPh sb="14" eb="16">
      <t>シヨウ</t>
    </rPh>
    <rPh sb="16" eb="18">
      <t>モクテキ</t>
    </rPh>
    <rPh sb="18" eb="20">
      <t>イガイ</t>
    </rPh>
    <rPh sb="21" eb="23">
      <t>シヨウ</t>
    </rPh>
    <phoneticPr fontId="3"/>
  </si>
  <si>
    <t>使用しようとするときは、許可書を提示しなければならない。また、許可書の再発行は行わないので、保管に留意すること。</t>
    <rPh sb="0" eb="2">
      <t>シヨウ</t>
    </rPh>
    <rPh sb="12" eb="15">
      <t>キョカショ</t>
    </rPh>
    <rPh sb="16" eb="18">
      <t>テイジ</t>
    </rPh>
    <rPh sb="31" eb="34">
      <t>キョカショ</t>
    </rPh>
    <rPh sb="35" eb="38">
      <t>サイハッコウ</t>
    </rPh>
    <rPh sb="39" eb="40">
      <t>オコナ</t>
    </rPh>
    <rPh sb="46" eb="48">
      <t>ホカン</t>
    </rPh>
    <rPh sb="49" eb="51">
      <t>リュウイ</t>
    </rPh>
    <phoneticPr fontId="4"/>
  </si>
  <si>
    <t>　なお、使用の取止めに伴う諸負担金は、お支払いいたします。</t>
    <rPh sb="4" eb="6">
      <t>シヨウ</t>
    </rPh>
    <rPh sb="7" eb="9">
      <t>トリヤ</t>
    </rPh>
    <rPh sb="11" eb="12">
      <t>トモナ</t>
    </rPh>
    <rPh sb="13" eb="14">
      <t>ショ</t>
    </rPh>
    <rPh sb="14" eb="17">
      <t>フタンキン</t>
    </rPh>
    <rPh sb="20" eb="22">
      <t>シハラ</t>
    </rPh>
    <phoneticPr fontId="4"/>
  </si>
  <si>
    <t>別記様式第4号</t>
    <phoneticPr fontId="4"/>
  </si>
  <si>
    <t>取止め届
受付日</t>
    <rPh sb="0" eb="2">
      <t>トリヤ</t>
    </rPh>
    <rPh sb="3" eb="4">
      <t>トドケ</t>
    </rPh>
    <phoneticPr fontId="4"/>
  </si>
  <si>
    <t>【取止め理由】</t>
    <rPh sb="1" eb="3">
      <t>トリヤ</t>
    </rPh>
    <rPh sb="4" eb="6">
      <t>リユウ</t>
    </rPh>
    <phoneticPr fontId="4"/>
  </si>
  <si>
    <t>　先に許可がありました</t>
    <phoneticPr fontId="4"/>
  </si>
  <si>
    <t>について、下記の理由により使用を取り止めます。</t>
    <phoneticPr fontId="4"/>
  </si>
  <si>
    <t>記入日</t>
    <rPh sb="0" eb="2">
      <t>キニュウ</t>
    </rPh>
    <rPh sb="2" eb="3">
      <t>ビ</t>
    </rPh>
    <phoneticPr fontId="4"/>
  </si>
  <si>
    <t>東北大学百周年記念会館使用取止め承認書</t>
    <rPh sb="0" eb="2">
      <t>トウホク</t>
    </rPh>
    <rPh sb="2" eb="4">
      <t>ダイガク</t>
    </rPh>
    <rPh sb="4" eb="7">
      <t>ヒャクシュウネン</t>
    </rPh>
    <rPh sb="7" eb="9">
      <t>キネン</t>
    </rPh>
    <rPh sb="9" eb="11">
      <t>カイカン</t>
    </rPh>
    <rPh sb="11" eb="13">
      <t>シヨウ</t>
    </rPh>
    <rPh sb="13" eb="15">
      <t>トリヤ</t>
    </rPh>
    <rPh sb="16" eb="18">
      <t>ショウニン</t>
    </rPh>
    <rPh sb="18" eb="19">
      <t>ショ</t>
    </rPh>
    <phoneticPr fontId="4"/>
  </si>
  <si>
    <t>東北大学百周年記念会館長</t>
    <rPh sb="0" eb="2">
      <t>トウホク</t>
    </rPh>
    <rPh sb="2" eb="4">
      <t>ダイガク</t>
    </rPh>
    <rPh sb="4" eb="7">
      <t>ヒャクシュウネン</t>
    </rPh>
    <rPh sb="7" eb="9">
      <t>キネン</t>
    </rPh>
    <rPh sb="9" eb="11">
      <t>カイカン</t>
    </rPh>
    <rPh sb="11" eb="12">
      <t>チョウ</t>
    </rPh>
    <phoneticPr fontId="4"/>
  </si>
  <si>
    <t>使用取止め日</t>
    <rPh sb="0" eb="2">
      <t>シヨウ</t>
    </rPh>
    <rPh sb="2" eb="4">
      <t>トリヤ</t>
    </rPh>
    <rPh sb="5" eb="6">
      <t>ビ</t>
    </rPh>
    <phoneticPr fontId="4"/>
  </si>
  <si>
    <t>使用取止め催事名</t>
    <rPh sb="0" eb="2">
      <t>シヨウ</t>
    </rPh>
    <rPh sb="2" eb="4">
      <t>トリヤ</t>
    </rPh>
    <rPh sb="5" eb="7">
      <t>サイジ</t>
    </rPh>
    <rPh sb="7" eb="8">
      <t>メイ</t>
    </rPh>
    <phoneticPr fontId="4"/>
  </si>
  <si>
    <t>付けをもって届出のあった催事番号</t>
    <rPh sb="0" eb="1">
      <t>ツ</t>
    </rPh>
    <rPh sb="6" eb="8">
      <t>トドケデ</t>
    </rPh>
    <rPh sb="12" eb="14">
      <t>サイジ</t>
    </rPh>
    <rPh sb="14" eb="16">
      <t>バンゴウ</t>
    </rPh>
    <phoneticPr fontId="4"/>
  </si>
  <si>
    <t>東北大学百周年記念会館使用取止め届</t>
    <rPh sb="0" eb="2">
      <t>トウホク</t>
    </rPh>
    <rPh sb="2" eb="4">
      <t>ダイガク</t>
    </rPh>
    <rPh sb="4" eb="7">
      <t>ヒャクシュウネン</t>
    </rPh>
    <rPh sb="7" eb="9">
      <t>キネン</t>
    </rPh>
    <rPh sb="9" eb="11">
      <t>カイカン</t>
    </rPh>
    <rPh sb="11" eb="13">
      <t>シヨウ</t>
    </rPh>
    <rPh sb="13" eb="14">
      <t>トリ</t>
    </rPh>
    <rPh sb="14" eb="15">
      <t>ト</t>
    </rPh>
    <rPh sb="16" eb="17">
      <t>トドケ</t>
    </rPh>
    <phoneticPr fontId="4"/>
  </si>
  <si>
    <t>の使用取止めについては、国立大学</t>
    <rPh sb="1" eb="3">
      <t>シヨウ</t>
    </rPh>
    <rPh sb="3" eb="4">
      <t>トリ</t>
    </rPh>
    <rPh sb="4" eb="5">
      <t>ト</t>
    </rPh>
    <rPh sb="12" eb="14">
      <t>コクリツ</t>
    </rPh>
    <rPh sb="14" eb="16">
      <t>ダイガク</t>
    </rPh>
    <phoneticPr fontId="4"/>
  </si>
  <si>
    <t>法人東北大学百周年記念会館規程及び国立大学法人東北大学百周年記念会館使用内規の定めるところにより、</t>
    <rPh sb="2" eb="4">
      <t>トウホク</t>
    </rPh>
    <rPh sb="4" eb="6">
      <t>ダイガク</t>
    </rPh>
    <rPh sb="6" eb="9">
      <t>ヒャクシュウネン</t>
    </rPh>
    <rPh sb="9" eb="11">
      <t>キネン</t>
    </rPh>
    <rPh sb="11" eb="13">
      <t>カイカン</t>
    </rPh>
    <rPh sb="13" eb="15">
      <t>キテイ</t>
    </rPh>
    <rPh sb="15" eb="16">
      <t>オヨ</t>
    </rPh>
    <rPh sb="17" eb="19">
      <t>コクリツ</t>
    </rPh>
    <rPh sb="19" eb="21">
      <t>ダイガク</t>
    </rPh>
    <rPh sb="21" eb="23">
      <t>ホウジン</t>
    </rPh>
    <rPh sb="23" eb="25">
      <t>トウホク</t>
    </rPh>
    <rPh sb="25" eb="27">
      <t>ダイガク</t>
    </rPh>
    <rPh sb="27" eb="30">
      <t>ヒャクシュウネン</t>
    </rPh>
    <rPh sb="30" eb="32">
      <t>キネン</t>
    </rPh>
    <rPh sb="32" eb="34">
      <t>カイカン</t>
    </rPh>
    <rPh sb="34" eb="36">
      <t>シヨウ</t>
    </rPh>
    <rPh sb="36" eb="38">
      <t>ナイキ</t>
    </rPh>
    <rPh sb="39" eb="40">
      <t>サダ</t>
    </rPh>
    <phoneticPr fontId="4"/>
  </si>
  <si>
    <t>下記のとおり承認する。</t>
    <phoneticPr fontId="4"/>
  </si>
  <si>
    <t>←1ヶ月前</t>
    <rPh sb="3" eb="4">
      <t>ゲツ</t>
    </rPh>
    <rPh sb="4" eb="5">
      <t>マエ</t>
    </rPh>
    <phoneticPr fontId="4"/>
  </si>
  <si>
    <t>←取止め届記入日</t>
    <rPh sb="1" eb="3">
      <t>トリヤ</t>
    </rPh>
    <rPh sb="4" eb="5">
      <t>トドケ</t>
    </rPh>
    <rPh sb="5" eb="7">
      <t>キニュウ</t>
    </rPh>
    <rPh sb="7" eb="8">
      <t>ビ</t>
    </rPh>
    <phoneticPr fontId="4"/>
  </si>
  <si>
    <t>取止め後の使用料</t>
    <phoneticPr fontId="4"/>
  </si>
  <si>
    <t>←取止め理由を選択（コロナは災害等）</t>
    <rPh sb="1" eb="3">
      <t>トリヤ</t>
    </rPh>
    <rPh sb="4" eb="6">
      <t>リユウ</t>
    </rPh>
    <rPh sb="7" eb="9">
      <t>センタク</t>
    </rPh>
    <rPh sb="14" eb="16">
      <t>サイガイ</t>
    </rPh>
    <rPh sb="16" eb="17">
      <t>トウ</t>
    </rPh>
    <phoneticPr fontId="4"/>
  </si>
  <si>
    <t>東北大学百周年記念会館長　殿</t>
    <rPh sb="0" eb="2">
      <t>トウホク</t>
    </rPh>
    <rPh sb="2" eb="4">
      <t>ダイガク</t>
    </rPh>
    <rPh sb="4" eb="7">
      <t>ヒャクシュウネン</t>
    </rPh>
    <rPh sb="7" eb="9">
      <t>キネン</t>
    </rPh>
    <rPh sb="9" eb="11">
      <t>カイカン</t>
    </rPh>
    <rPh sb="10" eb="12">
      <t>カンチョウ</t>
    </rPh>
    <rPh sb="13" eb="14">
      <t>トノ</t>
    </rPh>
    <phoneticPr fontId="4"/>
  </si>
  <si>
    <t>東北大学百周年記念会館長　殿</t>
    <rPh sb="0" eb="2">
      <t>トウホク</t>
    </rPh>
    <rPh sb="2" eb="4">
      <t>ダイガク</t>
    </rPh>
    <rPh sb="4" eb="7">
      <t>ヒャクシュウネン</t>
    </rPh>
    <rPh sb="7" eb="9">
      <t>キネン</t>
    </rPh>
    <rPh sb="9" eb="11">
      <t>カイカン</t>
    </rPh>
    <rPh sb="10" eb="12">
      <t>カンチョウ</t>
    </rPh>
    <rPh sb="13" eb="14">
      <t>ドノ</t>
    </rPh>
    <phoneticPr fontId="4"/>
  </si>
  <si>
    <t>東北大学百周年記念会館長　殿</t>
    <rPh sb="0" eb="2">
      <t>トウホク</t>
    </rPh>
    <rPh sb="2" eb="4">
      <t>ダイガク</t>
    </rPh>
    <rPh sb="4" eb="7">
      <t>ヒャクシュウネン</t>
    </rPh>
    <rPh sb="7" eb="9">
      <t>キネン</t>
    </rPh>
    <rPh sb="9" eb="11">
      <t>カイカン</t>
    </rPh>
    <rPh sb="11" eb="12">
      <t>チョウ</t>
    </rPh>
    <rPh sb="13" eb="14">
      <t>ドノ</t>
    </rPh>
    <phoneticPr fontId="4"/>
  </si>
  <si>
    <r>
      <t>【会議室・応接室】</t>
    </r>
    <r>
      <rPr>
        <sz val="10"/>
        <color theme="1"/>
        <rFont val="ＭＳ Ｐゴシック"/>
        <family val="3"/>
        <charset val="128"/>
      </rPr>
      <t>ホール使用を伴わない夜間のみの使用はできません。</t>
    </r>
    <rPh sb="1" eb="3">
      <t>カイギ</t>
    </rPh>
    <rPh sb="3" eb="4">
      <t>シツ</t>
    </rPh>
    <rPh sb="5" eb="8">
      <t>オウセツシツ</t>
    </rPh>
    <rPh sb="12" eb="14">
      <t>シヨウ</t>
    </rPh>
    <rPh sb="15" eb="16">
      <t>トモナ</t>
    </rPh>
    <rPh sb="19" eb="21">
      <t>ヤカン</t>
    </rPh>
    <rPh sb="24" eb="26">
      <t>シヨウ</t>
    </rPh>
    <phoneticPr fontId="4"/>
  </si>
  <si>
    <t>別記様式第3号</t>
    <phoneticPr fontId="4"/>
  </si>
  <si>
    <t>番号</t>
    <rPh sb="0" eb="2">
      <t>バンゴウ</t>
    </rPh>
    <phoneticPr fontId="4"/>
  </si>
  <si>
    <r>
      <t>【会議室・応接室】</t>
    </r>
    <r>
      <rPr>
        <sz val="10"/>
        <color theme="1"/>
        <rFont val="ＭＳ Ｐゴシック"/>
        <family val="3"/>
        <charset val="128"/>
      </rPr>
      <t>ホール使用を伴わない夜間のみの使用はできません。</t>
    </r>
    <rPh sb="1" eb="3">
      <t>カイギ</t>
    </rPh>
    <rPh sb="3" eb="4">
      <t>シツ</t>
    </rPh>
    <rPh sb="5" eb="8">
      <t>オウセツシツ</t>
    </rPh>
    <phoneticPr fontId="4"/>
  </si>
  <si>
    <t>所在地
または住所</t>
    <rPh sb="0" eb="3">
      <t>ショザイチ</t>
    </rPh>
    <rPh sb="7" eb="9">
      <t>ジュウショ</t>
    </rPh>
    <phoneticPr fontId="3"/>
  </si>
  <si>
    <t>催事担当者</t>
    <rPh sb="0" eb="2">
      <t>サイジ</t>
    </rPh>
    <rPh sb="2" eb="5">
      <t>タントウシャ</t>
    </rPh>
    <phoneticPr fontId="3"/>
  </si>
  <si>
    <t>請求書送付先等</t>
    <rPh sb="0" eb="3">
      <t>セイキュウショ</t>
    </rPh>
    <rPh sb="3" eb="6">
      <t>ソウフサキ</t>
    </rPh>
    <rPh sb="6" eb="7">
      <t>トウ</t>
    </rPh>
    <phoneticPr fontId="3"/>
  </si>
  <si>
    <t>試算日</t>
    <rPh sb="0" eb="2">
      <t>シサン</t>
    </rPh>
    <rPh sb="2" eb="3">
      <t>ビ</t>
    </rPh>
    <phoneticPr fontId="4"/>
  </si>
  <si>
    <t>東北大学百周年記念会館使用料金　試算書</t>
    <rPh sb="13" eb="15">
      <t>リョウキン</t>
    </rPh>
    <rPh sb="16" eb="18">
      <t>シサン</t>
    </rPh>
    <rPh sb="18" eb="19">
      <t>ショ</t>
    </rPh>
    <phoneticPr fontId="4"/>
  </si>
  <si>
    <t>この試算書については使用料を確約するものではなく、本申込の内容、時期などにより金額が変わる場合もございますので、その旨あらかじめご了承ください。</t>
    <rPh sb="2" eb="4">
      <t>シサン</t>
    </rPh>
    <rPh sb="4" eb="5">
      <t>ショ</t>
    </rPh>
    <rPh sb="10" eb="13">
      <t>シヨウリョウ</t>
    </rPh>
    <rPh sb="14" eb="16">
      <t>カクヤク</t>
    </rPh>
    <rPh sb="25" eb="26">
      <t>ホン</t>
    </rPh>
    <rPh sb="26" eb="28">
      <t>モウシコミ</t>
    </rPh>
    <rPh sb="29" eb="31">
      <t>ナイヨウ</t>
    </rPh>
    <rPh sb="32" eb="34">
      <t>ジキ</t>
    </rPh>
    <rPh sb="39" eb="41">
      <t>キンガク</t>
    </rPh>
    <rPh sb="42" eb="43">
      <t>カ</t>
    </rPh>
    <rPh sb="45" eb="47">
      <t>バアイ</t>
    </rPh>
    <rPh sb="58" eb="59">
      <t>ムネ</t>
    </rPh>
    <rPh sb="65" eb="67">
      <t>リョウショウ</t>
    </rPh>
    <phoneticPr fontId="4"/>
  </si>
  <si>
    <t>(税込）</t>
    <rPh sb="1" eb="3">
      <t>ゼイコ</t>
    </rPh>
    <phoneticPr fontId="4"/>
  </si>
  <si>
    <t>0000/00/00</t>
    <phoneticPr fontId="4"/>
  </si>
  <si>
    <t>（使用時間選択・午前使用の施設に適用）</t>
  </si>
  <si>
    <t>受付番号</t>
    <rPh sb="0" eb="4">
      <t>ウケツケバンゴウ</t>
    </rPh>
    <phoneticPr fontId="4"/>
  </si>
  <si>
    <t>許可番号</t>
    <rPh sb="0" eb="2">
      <t>キョカ</t>
    </rPh>
    <rPh sb="2" eb="4">
      <t>バンゴウ</t>
    </rPh>
    <phoneticPr fontId="4"/>
  </si>
  <si>
    <t>変更回数</t>
    <rPh sb="0" eb="2">
      <t>ヘンコウ</t>
    </rPh>
    <rPh sb="2" eb="4">
      <t>カイスウ</t>
    </rPh>
    <phoneticPr fontId="3"/>
  </si>
  <si>
    <t>主催者（団体）名</t>
    <rPh sb="0" eb="2">
      <t>シュサイ</t>
    </rPh>
    <rPh sb="2" eb="3">
      <t>シャ</t>
    </rPh>
    <rPh sb="4" eb="6">
      <t>ダンタイ</t>
    </rPh>
    <rPh sb="7" eb="8">
      <t>メイ</t>
    </rPh>
    <phoneticPr fontId="4"/>
  </si>
  <si>
    <t>催事分野</t>
    <rPh sb="0" eb="2">
      <t>サイジ</t>
    </rPh>
    <rPh sb="2" eb="4">
      <t>ブンヤ</t>
    </rPh>
    <phoneticPr fontId="3"/>
  </si>
  <si>
    <t>使用初日</t>
    <rPh sb="0" eb="2">
      <t>シヨウ</t>
    </rPh>
    <rPh sb="2" eb="4">
      <t>ショニチ</t>
    </rPh>
    <phoneticPr fontId="4"/>
  </si>
  <si>
    <t>使用最終日</t>
    <rPh sb="0" eb="2">
      <t>シヨウ</t>
    </rPh>
    <rPh sb="2" eb="5">
      <t>サイシュウビ</t>
    </rPh>
    <phoneticPr fontId="3"/>
  </si>
  <si>
    <t>来場者予定数</t>
    <rPh sb="0" eb="3">
      <t>ライジョウシャ</t>
    </rPh>
    <rPh sb="3" eb="5">
      <t>ヨテイ</t>
    </rPh>
    <rPh sb="5" eb="6">
      <t>スウ</t>
    </rPh>
    <phoneticPr fontId="4"/>
  </si>
  <si>
    <t>付帯料金予定</t>
    <rPh sb="0" eb="2">
      <t>フタイ</t>
    </rPh>
    <rPh sb="2" eb="4">
      <t>リョウキン</t>
    </rPh>
    <rPh sb="4" eb="6">
      <t>ヨテイ</t>
    </rPh>
    <phoneticPr fontId="4"/>
  </si>
  <si>
    <t>料金(ホ)</t>
    <rPh sb="0" eb="2">
      <t>リョウキン</t>
    </rPh>
    <phoneticPr fontId="3"/>
  </si>
  <si>
    <t>料金(会)</t>
    <rPh sb="0" eb="2">
      <t>リョウキン</t>
    </rPh>
    <rPh sb="3" eb="4">
      <t>カイ</t>
    </rPh>
    <phoneticPr fontId="3"/>
  </si>
  <si>
    <t>料金(応)</t>
    <rPh sb="0" eb="2">
      <t>リョウキン</t>
    </rPh>
    <rPh sb="3" eb="4">
      <t>オウ</t>
    </rPh>
    <phoneticPr fontId="3"/>
  </si>
  <si>
    <t>免除なし(ホ)</t>
    <rPh sb="0" eb="2">
      <t>メンジョ</t>
    </rPh>
    <phoneticPr fontId="3"/>
  </si>
  <si>
    <t>免除なし(会)</t>
    <rPh sb="0" eb="2">
      <t>メンジョ</t>
    </rPh>
    <rPh sb="5" eb="6">
      <t>カイ</t>
    </rPh>
    <phoneticPr fontId="3"/>
  </si>
  <si>
    <t>免除なし(応)</t>
    <rPh sb="0" eb="2">
      <t>メンジョ</t>
    </rPh>
    <rPh sb="5" eb="6">
      <t>オウ</t>
    </rPh>
    <phoneticPr fontId="3"/>
  </si>
  <si>
    <t>日</t>
    <rPh sb="0" eb="1">
      <t>ニチ</t>
    </rPh>
    <phoneticPr fontId="4"/>
  </si>
  <si>
    <t>月</t>
    <rPh sb="0" eb="1">
      <t>ゲツ</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</si>
  <si>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</si>
  <si>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</si>
  <si>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</si>
  <si>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</si>
  <si>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</si>
  <si>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使用申込</t>
    <rPh sb="0" eb="4">
      <t>シヨウモウシコミ</t>
    </rPh>
    <phoneticPr fontId="4"/>
  </si>
  <si>
    <t>会議室・応接室</t>
    <rPh sb="0" eb="3">
      <t>カイギシツ</t>
    </rPh>
    <rPh sb="4" eb="7">
      <t>オウセツシツ</t>
    </rPh>
    <phoneticPr fontId="4"/>
  </si>
  <si>
    <t>変更届①</t>
    <rPh sb="0" eb="3">
      <t>ヘンコウトドケ</t>
    </rPh>
    <phoneticPr fontId="4"/>
  </si>
  <si>
    <t>変更許可済み</t>
  </si>
  <si>
    <t>確定日</t>
    <rPh sb="0" eb="2">
      <t>カクテイ</t>
    </rPh>
    <rPh sb="2" eb="3">
      <t>ビ</t>
    </rPh>
    <phoneticPr fontId="4"/>
  </si>
  <si>
    <t>日別金額計算表</t>
    <rPh sb="0" eb="2">
      <t>ヒベツ</t>
    </rPh>
    <rPh sb="2" eb="4">
      <t>キンガク</t>
    </rPh>
    <rPh sb="4" eb="7">
      <t>ケイサンヒョウ</t>
    </rPh>
    <phoneticPr fontId="4"/>
  </si>
  <si>
    <t>前延長</t>
    <rPh sb="0" eb="3">
      <t>マエエンチョウ</t>
    </rPh>
    <phoneticPr fontId="4"/>
  </si>
  <si>
    <t>国民の休日</t>
  </si>
  <si>
    <t>スポーツの日</t>
  </si>
  <si>
    <t>（会議室選択）</t>
  </si>
  <si>
    <t>木</t>
  </si>
  <si>
    <t>月</t>
  </si>
  <si>
    <t>火</t>
  </si>
  <si>
    <t>水</t>
  </si>
  <si>
    <t>土</t>
  </si>
  <si>
    <t>金</t>
  </si>
  <si>
    <t>日</t>
  </si>
  <si>
    <t>1から8までに定めるもののほか、当該施設の使用にあたり必要な取扱いは、国立大学法人東北大学百周年記念会館規程及び国立大学法人東北大学百周年記念会館使用内規に定めるところによる。</t>
    <phoneticPr fontId="4"/>
  </si>
  <si>
    <t>←ヶ月前</t>
    <rPh sb="2" eb="3">
      <t>ゲツ</t>
    </rPh>
    <rPh sb="3" eb="4">
      <t>マエ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</si>
</sst>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42" formatCode="_ &quot;¥&quot;* #,##0_ ;_ &quot;¥&quot;* \-#,##0_ ;_ &quot;¥&quot;* &quot;-&quot;_ ;_ @_ "/>
    <numFmt numFmtId="41" formatCode="_ * #,##0_ ;_ * \-#,##0_ ;_ * &quot;-&quot;_ ;_ @_ "/>
    <numFmt numFmtId="176" formatCode="[$-411]ggge&quot;年&quot;m&quot;月&quot;d&quot;日&quot;&quot;(&quot;aaa&quot;)&quot;"/>
    <numFmt numFmtId="177" formatCode="[$-411]ge\.m\.d;@"/>
    <numFmt numFmtId="178" formatCode="#,##0_ "/>
    <numFmt numFmtId="179" formatCode="[$-411]ggge&quot;年&quot;m&quot;月&quot;d&quot;日&quot;;@"/>
    <numFmt numFmtId="180" formatCode="#,##0_);[Red]\(#,##0\)"/>
    <numFmt numFmtId="181" formatCode="aaa"/>
    <numFmt numFmtId="182" formatCode="0_);[Red]\(0\)"/>
    <numFmt numFmtId="183" formatCode="0_);\(0\)"/>
    <numFmt numFmtId="184" formatCode="@&quot;　様&quot;"/>
    <numFmt numFmtId="185" formatCode="yyyy/m/d;@"/>
    <numFmt numFmtId="186" formatCode="yyyy&quot;年&quot;m&quot;月&quot;d&quot;日&quot;;@"/>
    <numFmt numFmtId="187" formatCode="yyyy&quot;年&quot;m&quot;月&quot;d&quot;日&quot;\(aaa\)"/>
    <numFmt numFmtId="188" formatCode="yyyy&quot;年&quot;m&quot;月&quot;d&quot;日&quot;&quot;(&quot;aaa&quot;)&quot;"/>
    <numFmt numFmtId="189" formatCode="[$-F800]dddd\,\ mmmm\ dd\,\ yyyy"/>
  </numFmts>
  <fonts count="24">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6"/>
      <name val="ＭＳ Ｐゴシック"/>
      <family val="2"/>
      <charset val="128"/>
    </font>
    <font>
      <sz val="11"/>
      <color theme="1"/>
      <name val="ＭＳ Ｐゴシック"/>
      <family val="3"/>
      <charset val="128"/>
    </font>
    <font>
      <sz val="8"/>
      <color theme="1"/>
      <name val="ＭＳ Ｐゴシック"/>
      <family val="3"/>
      <charset val="128"/>
    </font>
    <font>
      <sz val="10"/>
      <color theme="1"/>
      <name val="ＭＳ Ｐゴシック"/>
      <family val="3"/>
      <charset val="128"/>
    </font>
    <font>
      <sz val="10"/>
      <name val="ＭＳ Ｐゴシック"/>
      <family val="3"/>
      <charset val="128"/>
    </font>
    <font>
      <sz val="9"/>
      <color theme="1"/>
      <name val="ＭＳ Ｐゴシック"/>
      <family val="3"/>
      <charset val="128"/>
    </font>
    <font>
      <b/>
      <sz val="14"/>
      <color theme="1"/>
      <name val="ＭＳ Ｐゴシック"/>
      <family val="3"/>
      <charset val="128"/>
    </font>
    <font>
      <sz val="9"/>
      <color indexed="81"/>
      <name val="MS P ゴシック"/>
      <family val="3"/>
      <charset val="128"/>
    </font>
    <font>
      <sz val="6"/>
      <name val="游ゴシック"/>
      <family val="2"/>
      <charset val="128"/>
      <scheme val="minor"/>
    </font>
    <font>
      <sz val="10"/>
      <color rgb="FFFF0000"/>
      <name val="ＭＳ Ｐゴシック"/>
      <family val="3"/>
      <charset val="128"/>
    </font>
    <font>
      <b/>
      <sz val="10"/>
      <color theme="1"/>
      <name val="ＭＳ Ｐゴシック"/>
      <family val="3"/>
      <charset val="128"/>
    </font>
    <font>
      <sz val="12"/>
      <color theme="1"/>
      <name val="ＭＳ Ｐゴシック"/>
      <family val="3"/>
      <charset val="128"/>
    </font>
    <font>
      <sz val="6"/>
      <color theme="1"/>
      <name val="ＭＳ Ｐゴシック"/>
      <family val="3"/>
      <charset val="128"/>
    </font>
    <font>
      <sz val="8"/>
      <name val="ＭＳ Ｐゴシック"/>
      <family val="3"/>
      <charset val="128"/>
    </font>
    <font>
      <sz val="10"/>
      <color theme="1"/>
      <name val="ＭＳ Ｐゴシック"/>
      <family val="2"/>
      <charset val="128"/>
    </font>
    <font>
      <sz val="9"/>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9"/>
      <color indexed="81"/>
      <name val="MS P ゴシック"/>
      <family val="3"/>
      <charset val="128"/>
    </font>
  </fonts>
  <fills count="1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CCFF"/>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3" tint="0.79998168889431442"/>
        <bgColor indexed="64"/>
      </patternFill>
    </fill>
  </fills>
  <borders count="3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top style="double">
        <color indexed="64"/>
      </top>
      <bottom style="thin">
        <color indexed="64"/>
      </bottom>
      <diagonal/>
    </border>
    <border>
      <left/>
      <right/>
      <top style="double">
        <color auto="1"/>
      </top>
      <bottom/>
      <diagonal/>
    </border>
    <border>
      <left style="medium">
        <color auto="1"/>
      </left>
      <right/>
      <top/>
      <bottom/>
      <diagonal/>
    </border>
    <border>
      <left/>
      <right style="medium">
        <color auto="1"/>
      </right>
      <top/>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medium">
        <color auto="1"/>
      </right>
      <top style="hair">
        <color auto="1"/>
      </top>
      <bottom style="thin">
        <color auto="1"/>
      </bottom>
      <diagonal/>
    </border>
    <border>
      <left style="thin">
        <color indexed="64"/>
      </left>
      <right style="medium">
        <color auto="1"/>
      </right>
      <top/>
      <bottom style="thin">
        <color indexed="64"/>
      </bottom>
      <diagonal/>
    </border>
    <border>
      <left style="thin">
        <color indexed="64"/>
      </left>
      <right style="medium">
        <color auto="1"/>
      </right>
      <top/>
      <bottom/>
      <diagonal/>
    </border>
    <border>
      <left style="thin">
        <color auto="1"/>
      </left>
      <right/>
      <top/>
      <bottom style="medium">
        <color auto="1"/>
      </bottom>
      <diagonal/>
    </border>
    <border>
      <left/>
      <right/>
      <top/>
      <bottom style="medium">
        <color auto="1"/>
      </bottom>
      <diagonal/>
    </border>
    <border>
      <left style="thin">
        <color indexed="64"/>
      </left>
      <right style="thin">
        <color indexed="64"/>
      </right>
      <top/>
      <bottom style="medium">
        <color auto="1"/>
      </bottom>
      <diagonal/>
    </border>
    <border>
      <left/>
      <right/>
      <top style="medium">
        <color auto="1"/>
      </top>
      <bottom/>
      <diagonal/>
    </border>
    <border>
      <left/>
      <right style="medium">
        <color auto="1"/>
      </right>
      <top/>
      <bottom style="thin">
        <color indexed="64"/>
      </bottom>
      <diagonal/>
    </border>
    <border>
      <left style="thin">
        <color auto="1"/>
      </left>
      <right/>
      <top style="hair">
        <color auto="1"/>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right style="thin">
        <color indexed="64"/>
      </right>
      <top style="thin">
        <color indexed="64"/>
      </top>
      <bottom style="hair">
        <color auto="1"/>
      </bottom>
      <diagonal/>
    </border>
    <border>
      <left/>
      <right style="medium">
        <color auto="1"/>
      </right>
      <top style="medium">
        <color auto="1"/>
      </top>
      <bottom/>
      <diagonal/>
    </border>
    <border>
      <left style="thin">
        <color auto="1"/>
      </left>
      <right style="thin">
        <color auto="1"/>
      </right>
      <top style="thin">
        <color auto="1"/>
      </top>
      <bottom style="hair">
        <color auto="1"/>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thin">
        <color indexed="64"/>
      </bottom>
      <diagonal/>
    </border>
    <border>
      <left style="medium">
        <color auto="1"/>
      </left>
      <right/>
      <top style="hair">
        <color auto="1"/>
      </top>
      <bottom style="medium">
        <color indexed="64"/>
      </bottom>
      <diagonal/>
    </border>
    <border>
      <left/>
      <right/>
      <top style="hair">
        <color auto="1"/>
      </top>
      <bottom style="medium">
        <color indexed="64"/>
      </bottom>
      <diagonal/>
    </border>
    <border>
      <left/>
      <right style="medium">
        <color auto="1"/>
      </right>
      <top style="hair">
        <color auto="1"/>
      </top>
      <bottom style="medium">
        <color indexed="64"/>
      </bottom>
      <diagonal/>
    </border>
    <border>
      <left/>
      <right style="medium">
        <color auto="1"/>
      </right>
      <top style="thin">
        <color auto="1"/>
      </top>
      <bottom/>
      <diagonal/>
    </border>
    <border>
      <left/>
      <right style="medium">
        <color auto="1"/>
      </right>
      <top/>
      <bottom style="double">
        <color auto="1"/>
      </bottom>
      <diagonal/>
    </border>
    <border>
      <left style="thin">
        <color indexed="64"/>
      </left>
      <right style="thin">
        <color indexed="64"/>
      </right>
      <top style="thin">
        <color indexed="64"/>
      </top>
      <bottom style="medium">
        <color auto="1"/>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hair">
        <color auto="1"/>
      </bottom>
      <diagonal/>
    </border>
    <border>
      <left/>
      <right/>
      <top style="thin">
        <color indexed="64"/>
      </top>
      <bottom style="hair">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left style="medium">
        <color indexed="64"/>
      </left>
      <right/>
      <top style="double">
        <color indexed="64"/>
      </top>
      <bottom style="thin">
        <color indexed="64"/>
      </bottom>
      <diagonal/>
    </border>
    <border>
      <left/>
      <right style="medium">
        <color indexed="64"/>
      </right>
      <top style="double">
        <color auto="1"/>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right style="medium">
        <color auto="1"/>
      </right>
      <top style="double">
        <color indexed="64"/>
      </top>
      <bottom style="thin">
        <color auto="1"/>
      </bottom>
      <diagonal/>
    </border>
    <border>
      <left style="thin">
        <color indexed="64"/>
      </left>
      <right/>
      <top style="double">
        <color indexed="64"/>
      </top>
      <bottom style="thin">
        <color auto="1"/>
      </bottom>
      <diagonal/>
    </border>
    <border>
      <left style="medium">
        <color auto="1"/>
      </left>
      <right style="medium">
        <color auto="1"/>
      </right>
      <top/>
      <bottom style="thin">
        <color auto="1"/>
      </bottom>
      <diagonal/>
    </border>
    <border>
      <left style="medium">
        <color auto="1"/>
      </left>
      <right/>
      <top style="double">
        <color auto="1"/>
      </top>
      <bottom/>
      <diagonal/>
    </border>
    <border>
      <left style="thin">
        <color indexed="64"/>
      </left>
      <right/>
      <top style="double">
        <color auto="1"/>
      </top>
      <bottom/>
      <diagonal/>
    </border>
    <border>
      <left/>
      <right style="thin">
        <color indexed="64"/>
      </right>
      <top style="double">
        <color auto="1"/>
      </top>
      <bottom/>
      <diagonal/>
    </border>
    <border>
      <left style="thin">
        <color auto="1"/>
      </left>
      <right style="thin">
        <color auto="1"/>
      </right>
      <top style="double">
        <color auto="1"/>
      </top>
      <bottom style="thin">
        <color indexed="64"/>
      </bottom>
      <diagonal/>
    </border>
    <border>
      <left style="medium">
        <color auto="1"/>
      </left>
      <right/>
      <top style="thin">
        <color indexed="64"/>
      </top>
      <bottom style="hair">
        <color auto="1"/>
      </bottom>
      <diagonal/>
    </border>
    <border>
      <left/>
      <right style="medium">
        <color auto="1"/>
      </right>
      <top style="thin">
        <color indexed="64"/>
      </top>
      <bottom style="hair">
        <color auto="1"/>
      </bottom>
      <diagonal/>
    </border>
    <border>
      <left style="thin">
        <color indexed="64"/>
      </left>
      <right/>
      <top style="thin">
        <color indexed="64"/>
      </top>
      <bottom style="hair">
        <color auto="1"/>
      </bottom>
      <diagonal/>
    </border>
    <border>
      <left style="medium">
        <color indexed="64"/>
      </left>
      <right/>
      <top style="thin">
        <color auto="1"/>
      </top>
      <bottom style="thin">
        <color indexed="64"/>
      </bottom>
      <diagonal/>
    </border>
    <border>
      <left/>
      <right style="medium">
        <color auto="1"/>
      </right>
      <top style="thin">
        <color auto="1"/>
      </top>
      <bottom style="thin">
        <color auto="1"/>
      </bottom>
      <diagonal/>
    </border>
    <border>
      <left style="thin">
        <color indexed="64"/>
      </left>
      <right style="hair">
        <color indexed="64"/>
      </right>
      <top/>
      <bottom style="thin">
        <color indexed="64"/>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double">
        <color indexed="64"/>
      </left>
      <right style="medium">
        <color indexed="64"/>
      </right>
      <top/>
      <bottom style="thin">
        <color indexed="64"/>
      </bottom>
      <diagonal/>
    </border>
    <border>
      <left style="double">
        <color indexed="64"/>
      </left>
      <right style="medium">
        <color indexed="64"/>
      </right>
      <top/>
      <bottom/>
      <diagonal/>
    </border>
    <border>
      <left style="medium">
        <color indexed="64"/>
      </left>
      <right style="medium">
        <color indexed="64"/>
      </right>
      <top/>
      <bottom/>
      <diagonal/>
    </border>
    <border>
      <left style="thin">
        <color auto="1"/>
      </left>
      <right style="thin">
        <color auto="1"/>
      </right>
      <top style="double">
        <color auto="1"/>
      </top>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hair">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double">
        <color auto="1"/>
      </left>
      <right style="thin">
        <color auto="1"/>
      </right>
      <top style="double">
        <color auto="1"/>
      </top>
      <bottom/>
      <diagonal/>
    </border>
    <border>
      <left style="double">
        <color auto="1"/>
      </left>
      <right style="thin">
        <color auto="1"/>
      </right>
      <top style="thin">
        <color auto="1"/>
      </top>
      <bottom/>
      <diagonal/>
    </border>
    <border>
      <left style="double">
        <color auto="1"/>
      </left>
      <right style="thin">
        <color auto="1"/>
      </right>
      <top style="thin">
        <color auto="1"/>
      </top>
      <bottom style="medium">
        <color auto="1"/>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medium">
        <color rgb="FF000000"/>
      </right>
      <top style="thin">
        <color indexed="64"/>
      </top>
      <bottom style="thin">
        <color indexed="64"/>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style="double">
        <color rgb="FF000000"/>
      </top>
      <bottom style="thin">
        <color rgb="FF000000"/>
      </bottom>
      <diagonal/>
    </border>
    <border>
      <left/>
      <right style="thin">
        <color indexed="64"/>
      </right>
      <top style="double">
        <color rgb="FF000000"/>
      </top>
      <bottom style="thin">
        <color indexed="64"/>
      </bottom>
      <diagonal/>
    </border>
    <border>
      <left style="thin">
        <color auto="1"/>
      </left>
      <right style="thin">
        <color auto="1"/>
      </right>
      <top style="double">
        <color rgb="FF000000"/>
      </top>
      <bottom style="thin">
        <color indexed="64"/>
      </bottom>
      <diagonal/>
    </border>
    <border>
      <left style="thin">
        <color indexed="64"/>
      </left>
      <right style="thin">
        <color indexed="64"/>
      </right>
      <top style="double">
        <color rgb="FF000000"/>
      </top>
      <bottom/>
      <diagonal/>
    </border>
    <border>
      <left style="thin">
        <color indexed="64"/>
      </left>
      <right style="medium">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thin">
        <color rgb="FF000000"/>
      </top>
      <bottom/>
      <diagonal/>
    </border>
    <border>
      <left style="thin">
        <color indexed="64"/>
      </left>
      <right style="medium">
        <color rgb="FF000000"/>
      </right>
      <top style="thin">
        <color indexed="64"/>
      </top>
      <bottom/>
      <diagonal/>
    </border>
    <border>
      <left style="medium">
        <color rgb="FF000000"/>
      </left>
      <right style="thin">
        <color rgb="FF000000"/>
      </right>
      <top style="medium">
        <color rgb="FF000000"/>
      </top>
      <bottom/>
      <diagonal/>
    </border>
    <border>
      <left/>
      <right/>
      <top style="medium">
        <color rgb="FF000000"/>
      </top>
      <bottom/>
      <diagonal/>
    </border>
    <border>
      <left style="thin">
        <color auto="1"/>
      </left>
      <right style="thin">
        <color auto="1"/>
      </right>
      <top style="medium">
        <color rgb="FF000000"/>
      </top>
      <bottom/>
      <diagonal/>
    </border>
    <border>
      <left style="thin">
        <color auto="1"/>
      </left>
      <right style="medium">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double">
        <color auto="1"/>
      </left>
      <right style="thin">
        <color auto="1"/>
      </right>
      <top style="thin">
        <color auto="1"/>
      </top>
      <bottom style="medium">
        <color rgb="FF000000"/>
      </bottom>
      <diagonal/>
    </border>
    <border>
      <left style="double">
        <color auto="1"/>
      </left>
      <right style="thin">
        <color auto="1"/>
      </right>
      <top style="medium">
        <color rgb="FF000000"/>
      </top>
      <bottom style="thin">
        <color auto="1"/>
      </bottom>
      <diagonal/>
    </border>
    <border>
      <left style="thin">
        <color auto="1"/>
      </left>
      <right style="thin">
        <color auto="1"/>
      </right>
      <top style="medium">
        <color rgb="FF000000"/>
      </top>
      <bottom style="thin">
        <color indexed="64"/>
      </bottom>
      <diagonal/>
    </border>
    <border>
      <left style="thin">
        <color indexed="64"/>
      </left>
      <right style="medium">
        <color auto="1"/>
      </right>
      <top style="medium">
        <color rgb="FF000000"/>
      </top>
      <bottom/>
      <diagonal/>
    </border>
    <border>
      <left style="thin">
        <color rgb="FF000000"/>
      </left>
      <right style="thin">
        <color rgb="FF000000"/>
      </right>
      <top/>
      <bottom style="medium">
        <color rgb="FF000000"/>
      </bottom>
      <diagonal/>
    </border>
    <border>
      <left/>
      <right style="thin">
        <color indexed="64"/>
      </right>
      <top style="medium">
        <color rgb="FF000000"/>
      </top>
      <bottom/>
      <diagonal/>
    </border>
    <border>
      <left/>
      <right style="thin">
        <color auto="1"/>
      </right>
      <top style="medium">
        <color rgb="FF000000"/>
      </top>
      <bottom style="thin">
        <color auto="1"/>
      </bottom>
      <diagonal/>
    </border>
    <border>
      <left style="thin">
        <color rgb="FF000000"/>
      </left>
      <right style="double">
        <color rgb="FF000000"/>
      </right>
      <top style="medium">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double">
        <color rgb="FF000000"/>
      </right>
      <top style="thin">
        <color rgb="FF000000"/>
      </top>
      <bottom/>
      <diagonal/>
    </border>
    <border>
      <left style="thin">
        <color rgb="FF000000"/>
      </left>
      <right style="double">
        <color rgb="FF000000"/>
      </right>
      <top style="double">
        <color rgb="FF000000"/>
      </top>
      <bottom style="thin">
        <color rgb="FF000000"/>
      </bottom>
      <diagonal/>
    </border>
    <border>
      <left/>
      <right style="double">
        <color rgb="FF000000"/>
      </right>
      <top style="medium">
        <color rgb="FF000000"/>
      </top>
      <bottom/>
      <diagonal/>
    </border>
    <border>
      <left/>
      <right style="double">
        <color rgb="FF000000"/>
      </right>
      <top style="thin">
        <color auto="1"/>
      </top>
      <bottom/>
      <diagonal/>
    </border>
    <border>
      <left style="thin">
        <color auto="1"/>
      </left>
      <right style="double">
        <color rgb="FF000000"/>
      </right>
      <top style="medium">
        <color rgb="FF000000"/>
      </top>
      <bottom/>
      <diagonal/>
    </border>
    <border>
      <left style="thin">
        <color auto="1"/>
      </left>
      <right style="double">
        <color rgb="FF000000"/>
      </right>
      <top style="thin">
        <color auto="1"/>
      </top>
      <bottom/>
      <diagonal/>
    </border>
    <border>
      <left/>
      <right/>
      <top/>
      <bottom style="medium">
        <color rgb="FF000000"/>
      </bottom>
      <diagonal/>
    </border>
    <border>
      <left style="thin">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bottom style="thin">
        <color rgb="FF000000"/>
      </bottom>
      <diagonal/>
    </border>
    <border>
      <left/>
      <right/>
      <top style="thin">
        <color rgb="FF000000"/>
      </top>
      <bottom style="medium">
        <color rgb="FF000000"/>
      </bottom>
      <diagonal/>
    </border>
    <border>
      <left/>
      <right style="double">
        <color rgb="FF000000"/>
      </right>
      <top style="thin">
        <color rgb="FF000000"/>
      </top>
      <bottom style="medium">
        <color rgb="FF000000"/>
      </bottom>
      <diagonal/>
    </border>
    <border>
      <left style="thin">
        <color indexed="64"/>
      </left>
      <right style="medium">
        <color auto="1"/>
      </right>
      <top style="medium">
        <color rgb="FF000000"/>
      </top>
      <bottom style="thin">
        <color indexed="64"/>
      </bottom>
      <diagonal/>
    </border>
    <border>
      <left style="thin">
        <color indexed="64"/>
      </left>
      <right style="thin">
        <color indexed="64"/>
      </right>
      <top/>
      <bottom style="medium">
        <color rgb="FF000000"/>
      </bottom>
      <diagonal/>
    </border>
    <border>
      <left style="thin">
        <color indexed="64"/>
      </left>
      <right style="medium">
        <color auto="1"/>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double">
        <color rgb="FF000000"/>
      </left>
      <right/>
      <top style="medium">
        <color rgb="FF000000"/>
      </top>
      <bottom style="thin">
        <color rgb="FF000000"/>
      </bottom>
      <diagonal/>
    </border>
    <border>
      <left/>
      <right/>
      <top style="medium">
        <color rgb="FF000000"/>
      </top>
      <bottom style="double">
        <color auto="1"/>
      </bottom>
      <diagonal/>
    </border>
    <border>
      <left style="medium">
        <color indexed="64"/>
      </left>
      <right style="medium">
        <color indexed="64"/>
      </right>
      <top style="medium">
        <color indexed="64"/>
      </top>
      <bottom style="thin">
        <color indexed="64"/>
      </bottom>
      <diagonal/>
    </border>
    <border>
      <left style="double">
        <color auto="1"/>
      </left>
      <right style="thin">
        <color auto="1"/>
      </right>
      <top/>
      <bottom/>
      <diagonal/>
    </border>
    <border>
      <left/>
      <right style="double">
        <color rgb="FF000000"/>
      </right>
      <top/>
      <bottom/>
      <diagonal/>
    </border>
    <border>
      <left style="thin">
        <color auto="1"/>
      </left>
      <right style="medium">
        <color rgb="FF000000"/>
      </right>
      <top/>
      <bottom/>
      <diagonal/>
    </border>
    <border>
      <left style="thin">
        <color auto="1"/>
      </left>
      <right style="medium">
        <color rgb="FF000000"/>
      </right>
      <top style="medium">
        <color rgb="FF000000"/>
      </top>
      <bottom style="thin">
        <color indexed="64"/>
      </bottom>
      <diagonal/>
    </border>
    <border>
      <left style="thin">
        <color indexed="64"/>
      </left>
      <right style="medium">
        <color rgb="FF000000"/>
      </right>
      <top style="thin">
        <color indexed="64"/>
      </top>
      <bottom style="medium">
        <color auto="1"/>
      </bottom>
      <diagonal/>
    </border>
    <border>
      <left style="thin">
        <color auto="1"/>
      </left>
      <right style="medium">
        <color rgb="FF000000"/>
      </right>
      <top style="double">
        <color auto="1"/>
      </top>
      <bottom/>
      <diagonal/>
    </border>
    <border>
      <left style="thin">
        <color auto="1"/>
      </left>
      <right style="medium">
        <color rgb="FF000000"/>
      </right>
      <top style="double">
        <color auto="1"/>
      </top>
      <bottom style="thin">
        <color indexed="64"/>
      </bottom>
      <diagonal/>
    </border>
    <border>
      <left style="thin">
        <color rgb="FF000000"/>
      </left>
      <right/>
      <top/>
      <bottom style="medium">
        <color rgb="FF000000"/>
      </bottom>
      <diagonal/>
    </border>
    <border>
      <left/>
      <right style="thin">
        <color rgb="FF000000"/>
      </right>
      <top/>
      <bottom style="medium">
        <color rgb="FF000000"/>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auto="1"/>
      </left>
      <right/>
      <top style="double">
        <color auto="1"/>
      </top>
      <bottom style="medium">
        <color auto="1"/>
      </bottom>
      <diagonal/>
    </border>
    <border>
      <left/>
      <right/>
      <top style="double">
        <color auto="1"/>
      </top>
      <bottom style="medium">
        <color auto="1"/>
      </bottom>
      <diagonal/>
    </border>
    <border>
      <left style="thin">
        <color auto="1"/>
      </left>
      <right style="thin">
        <color auto="1"/>
      </right>
      <top style="double">
        <color auto="1"/>
      </top>
      <bottom style="medium">
        <color auto="1"/>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medium">
        <color rgb="FF000000"/>
      </right>
      <top style="medium">
        <color rgb="FF000000"/>
      </top>
      <bottom style="double">
        <color auto="1"/>
      </bottom>
      <diagonal/>
    </border>
    <border>
      <left style="thin">
        <color rgb="FF000000"/>
      </left>
      <right style="double">
        <color rgb="FF000000"/>
      </right>
      <top style="thin">
        <color rgb="FF000000"/>
      </top>
      <bottom style="medium">
        <color rgb="FF000000"/>
      </bottom>
      <diagonal/>
    </border>
    <border>
      <left/>
      <right style="thin">
        <color indexed="64"/>
      </right>
      <top style="thin">
        <color indexed="64"/>
      </top>
      <bottom style="medium">
        <color rgb="FF000000"/>
      </bottom>
      <diagonal/>
    </border>
    <border>
      <left style="double">
        <color auto="1"/>
      </left>
      <right style="thin">
        <color auto="1"/>
      </right>
      <top style="medium">
        <color rgb="FF000000"/>
      </top>
      <bottom/>
      <diagonal/>
    </border>
    <border>
      <left/>
      <right/>
      <top style="thin">
        <color indexed="64"/>
      </top>
      <bottom style="medium">
        <color rgb="FF000000"/>
      </bottom>
      <diagonal/>
    </border>
    <border>
      <left/>
      <right style="double">
        <color rgb="FF000000"/>
      </right>
      <top style="thin">
        <color auto="1"/>
      </top>
      <bottom style="medium">
        <color rgb="FF000000"/>
      </bottom>
      <diagonal/>
    </border>
    <border>
      <left style="thin">
        <color indexed="64"/>
      </left>
      <right style="medium">
        <color indexed="64"/>
      </right>
      <top style="thin">
        <color indexed="64"/>
      </top>
      <bottom style="medium">
        <color rgb="FF000000"/>
      </bottom>
      <diagonal/>
    </border>
    <border>
      <left style="thin">
        <color rgb="FF000000"/>
      </left>
      <right/>
      <top/>
      <bottom/>
      <diagonal/>
    </border>
    <border>
      <left/>
      <right style="thin">
        <color rgb="FF000000"/>
      </right>
      <top/>
      <bottom/>
      <diagonal/>
    </border>
    <border>
      <left style="double">
        <color rgb="FF000000"/>
      </left>
      <right style="thin">
        <color rgb="FF000000"/>
      </right>
      <top/>
      <bottom style="thin">
        <color rgb="FF000000"/>
      </bottom>
      <diagonal/>
    </border>
    <border>
      <left style="thin">
        <color rgb="FF000000"/>
      </left>
      <right/>
      <top style="double">
        <color rgb="FF000000"/>
      </top>
      <bottom/>
      <diagonal/>
    </border>
    <border>
      <left/>
      <right style="thin">
        <color rgb="FF000000"/>
      </right>
      <top style="double">
        <color rgb="FF000000"/>
      </top>
      <bottom/>
      <diagonal/>
    </border>
    <border>
      <left style="thin">
        <color rgb="FF000000"/>
      </left>
      <right/>
      <top style="double">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medium">
        <color rgb="FF000000"/>
      </right>
      <top style="double">
        <color rgb="FF000000"/>
      </top>
      <bottom style="thin">
        <color rgb="FF000000"/>
      </bottom>
      <diagonal/>
    </border>
    <border>
      <left style="double">
        <color auto="1"/>
      </left>
      <right style="thin">
        <color auto="1"/>
      </right>
      <top style="double">
        <color rgb="FF000000"/>
      </top>
      <bottom style="thin">
        <color auto="1"/>
      </bottom>
      <diagonal/>
    </border>
    <border>
      <left style="thin">
        <color auto="1"/>
      </left>
      <right style="medium">
        <color rgb="FF000000"/>
      </right>
      <top style="double">
        <color rgb="FF000000"/>
      </top>
      <bottom style="thin">
        <color indexed="64"/>
      </bottom>
      <diagonal/>
    </border>
    <border>
      <left style="thin">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double">
        <color auto="1"/>
      </left>
      <right style="thin">
        <color auto="1"/>
      </right>
      <top style="thin">
        <color auto="1"/>
      </top>
      <bottom style="double">
        <color rgb="FF000000"/>
      </bottom>
      <diagonal/>
    </border>
    <border>
      <left style="thin">
        <color indexed="64"/>
      </left>
      <right style="thin">
        <color indexed="64"/>
      </right>
      <top style="thin">
        <color indexed="64"/>
      </top>
      <bottom style="double">
        <color rgb="FF000000"/>
      </bottom>
      <diagonal/>
    </border>
    <border>
      <left style="thin">
        <color indexed="64"/>
      </left>
      <right style="medium">
        <color rgb="FF000000"/>
      </right>
      <top style="thin">
        <color indexed="64"/>
      </top>
      <bottom style="double">
        <color rgb="FF000000"/>
      </bottom>
      <diagonal/>
    </border>
    <border>
      <left/>
      <right/>
      <top style="double">
        <color rgb="FF000000"/>
      </top>
      <bottom/>
      <diagonal/>
    </border>
    <border>
      <left/>
      <right style="thin">
        <color indexed="64"/>
      </right>
      <top style="double">
        <color rgb="FF000000"/>
      </top>
      <bottom/>
      <diagonal/>
    </border>
    <border>
      <left style="thin">
        <color auto="1"/>
      </left>
      <right style="double">
        <color auto="1"/>
      </right>
      <top style="double">
        <color rgb="FF000000"/>
      </top>
      <bottom/>
      <diagonal/>
    </border>
    <border>
      <left style="double">
        <color auto="1"/>
      </left>
      <right style="thin">
        <color auto="1"/>
      </right>
      <top style="double">
        <color rgb="FF000000"/>
      </top>
      <bottom/>
      <diagonal/>
    </border>
    <border>
      <left/>
      <right/>
      <top/>
      <bottom style="double">
        <color rgb="FF000000"/>
      </bottom>
      <diagonal/>
    </border>
    <border>
      <left/>
      <right style="thin">
        <color indexed="64"/>
      </right>
      <top/>
      <bottom style="double">
        <color rgb="FF000000"/>
      </bottom>
      <diagonal/>
    </border>
    <border>
      <left style="thin">
        <color auto="1"/>
      </left>
      <right style="double">
        <color auto="1"/>
      </right>
      <top style="thin">
        <color auto="1"/>
      </top>
      <bottom style="double">
        <color rgb="FF000000"/>
      </bottom>
      <diagonal/>
    </border>
    <border>
      <left style="thin">
        <color auto="1"/>
      </left>
      <right/>
      <top style="medium">
        <color rgb="FF000000"/>
      </top>
      <bottom/>
      <diagonal/>
    </border>
    <border>
      <left style="double">
        <color rgb="FF000000"/>
      </left>
      <right style="thin">
        <color auto="1"/>
      </right>
      <top style="double">
        <color rgb="FF000000"/>
      </top>
      <bottom/>
      <diagonal/>
    </border>
    <border>
      <left style="double">
        <color rgb="FF000000"/>
      </left>
      <right style="thin">
        <color auto="1"/>
      </right>
      <top style="thin">
        <color auto="1"/>
      </top>
      <bottom style="medium">
        <color rgb="FF000000"/>
      </bottom>
      <diagonal/>
    </border>
    <border>
      <left style="double">
        <color rgb="FF000000"/>
      </left>
      <right style="thin">
        <color auto="1"/>
      </right>
      <top style="medium">
        <color rgb="FF000000"/>
      </top>
      <bottom/>
      <diagonal/>
    </border>
    <border>
      <left style="double">
        <color rgb="FF000000"/>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double">
        <color auto="1"/>
      </top>
      <bottom style="medium">
        <color auto="1"/>
      </bottom>
      <diagonal/>
    </border>
    <border>
      <left style="medium">
        <color indexed="64"/>
      </left>
      <right style="medium">
        <color indexed="64"/>
      </right>
      <top/>
      <bottom style="double">
        <color indexed="64"/>
      </bottom>
      <diagonal/>
    </border>
    <border>
      <left style="medium">
        <color indexed="64"/>
      </left>
      <right style="medium">
        <color indexed="64"/>
      </right>
      <top style="double">
        <color auto="1"/>
      </top>
      <bottom style="medium">
        <color auto="1"/>
      </bottom>
      <diagonal/>
    </border>
    <border>
      <left style="double">
        <color indexed="64"/>
      </left>
      <right style="medium">
        <color indexed="64"/>
      </right>
      <top/>
      <bottom style="double">
        <color indexed="64"/>
      </bottom>
      <diagonal/>
    </border>
    <border>
      <left style="double">
        <color indexed="64"/>
      </left>
      <right style="medium">
        <color indexed="64"/>
      </right>
      <top style="thin">
        <color indexed="64"/>
      </top>
      <bottom/>
      <diagonal/>
    </border>
    <border>
      <left style="double">
        <color auto="1"/>
      </left>
      <right style="medium">
        <color auto="1"/>
      </right>
      <top style="double">
        <color auto="1"/>
      </top>
      <bottom style="medium">
        <color auto="1"/>
      </bottom>
      <diagonal/>
    </border>
    <border>
      <left/>
      <right/>
      <top style="thick">
        <color indexed="64"/>
      </top>
      <bottom/>
      <diagonal/>
    </border>
    <border>
      <left/>
      <right style="thick">
        <color indexed="64"/>
      </right>
      <top style="thick">
        <color indexed="64"/>
      </top>
      <bottom/>
      <diagonal/>
    </border>
    <border>
      <left/>
      <right style="thick">
        <color indexed="64"/>
      </right>
      <top style="thin">
        <color auto="1"/>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diagonal/>
    </border>
    <border>
      <left style="thick">
        <color indexed="64"/>
      </left>
      <right style="thin">
        <color auto="1"/>
      </right>
      <top/>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style="thin">
        <color indexed="64"/>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style="hair">
        <color indexed="64"/>
      </left>
      <right/>
      <top/>
      <bottom style="medium">
        <color indexed="64"/>
      </bottom>
      <diagonal/>
    </border>
    <border>
      <left/>
      <right style="hair">
        <color indexed="64"/>
      </right>
      <top/>
      <bottom style="medium">
        <color auto="1"/>
      </bottom>
      <diagonal/>
    </border>
    <border>
      <left/>
      <right style="hair">
        <color indexed="64"/>
      </right>
      <top style="hair">
        <color indexed="64"/>
      </top>
      <bottom style="thin">
        <color indexed="64"/>
      </bottom>
      <diagonal/>
    </border>
    <border>
      <left/>
      <right/>
      <top style="hair">
        <color auto="1"/>
      </top>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top style="hair">
        <color indexed="64"/>
      </top>
      <bottom/>
      <diagonal/>
    </border>
    <border>
      <left/>
      <right style="hair">
        <color indexed="64"/>
      </right>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style="medium">
        <color auto="1"/>
      </right>
      <top style="hair">
        <color auto="1"/>
      </top>
      <bottom/>
      <diagonal/>
    </border>
    <border>
      <left/>
      <right style="medium">
        <color auto="1"/>
      </right>
      <top style="hair">
        <color indexed="64"/>
      </top>
      <bottom style="hair">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indexed="64"/>
      </right>
      <top style="medium">
        <color auto="1"/>
      </top>
      <bottom style="double">
        <color auto="1"/>
      </bottom>
      <diagonal/>
    </border>
    <border>
      <left style="thin">
        <color indexed="64"/>
      </left>
      <right/>
      <top style="medium">
        <color auto="1"/>
      </top>
      <bottom style="double">
        <color auto="1"/>
      </bottom>
      <diagonal/>
    </border>
    <border>
      <left style="double">
        <color indexed="64"/>
      </left>
      <right style="medium">
        <color indexed="64"/>
      </right>
      <top style="medium">
        <color auto="1"/>
      </top>
      <bottom style="double">
        <color auto="1"/>
      </bottom>
      <diagonal/>
    </border>
    <border>
      <left/>
      <right style="thin">
        <color indexed="64"/>
      </right>
      <top style="medium">
        <color indexed="64"/>
      </top>
      <bottom style="double">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double">
        <color auto="1"/>
      </left>
      <right/>
      <top style="medium">
        <color auto="1"/>
      </top>
      <bottom/>
      <diagonal/>
    </border>
    <border>
      <left/>
      <right style="double">
        <color auto="1"/>
      </right>
      <top style="medium">
        <color auto="1"/>
      </top>
      <bottom/>
      <diagonal/>
    </border>
    <border>
      <left style="double">
        <color auto="1"/>
      </left>
      <right/>
      <top/>
      <bottom style="medium">
        <color auto="1"/>
      </bottom>
      <diagonal/>
    </border>
    <border>
      <left/>
      <right style="double">
        <color auto="1"/>
      </right>
      <top/>
      <bottom style="medium">
        <color auto="1"/>
      </bottom>
      <diagonal/>
    </border>
    <border>
      <left style="double">
        <color auto="1"/>
      </left>
      <right/>
      <top style="double">
        <color auto="1"/>
      </top>
      <bottom/>
      <diagonal/>
    </border>
    <border>
      <left/>
      <right style="double">
        <color auto="1"/>
      </right>
      <top style="double">
        <color auto="1"/>
      </top>
      <bottom/>
      <diagonal/>
    </border>
    <border>
      <left/>
      <right style="thin">
        <color indexed="64"/>
      </right>
      <top style="double">
        <color indexed="64"/>
      </top>
      <bottom style="thin">
        <color auto="1"/>
      </bottom>
      <diagonal/>
    </border>
    <border>
      <left style="thin">
        <color indexed="64"/>
      </left>
      <right/>
      <top style="thin">
        <color indexed="64"/>
      </top>
      <bottom style="double">
        <color auto="1"/>
      </bottom>
      <diagonal/>
    </border>
    <border>
      <left/>
      <right/>
      <top style="thin">
        <color indexed="64"/>
      </top>
      <bottom style="double">
        <color auto="1"/>
      </bottom>
      <diagonal/>
    </border>
    <border>
      <left/>
      <right style="thin">
        <color indexed="64"/>
      </right>
      <top style="thin">
        <color indexed="64"/>
      </top>
      <bottom style="double">
        <color auto="1"/>
      </bottom>
      <diagonal/>
    </border>
    <border>
      <left/>
      <right style="medium">
        <color auto="1"/>
      </right>
      <top style="thin">
        <color indexed="64"/>
      </top>
      <bottom style="double">
        <color auto="1"/>
      </bottom>
      <diagonal/>
    </border>
    <border>
      <left/>
      <right/>
      <top style="hair">
        <color auto="1"/>
      </top>
      <bottom style="double">
        <color indexed="64"/>
      </bottom>
      <diagonal/>
    </border>
    <border>
      <left style="double">
        <color auto="1"/>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double">
        <color auto="1"/>
      </right>
      <top style="hair">
        <color auto="1"/>
      </top>
      <bottom style="double">
        <color indexed="64"/>
      </bottom>
      <diagonal/>
    </border>
    <border>
      <left style="double">
        <color auto="1"/>
      </left>
      <right style="hair">
        <color auto="1"/>
      </right>
      <top style="double">
        <color indexed="64"/>
      </top>
      <bottom style="thin">
        <color auto="1"/>
      </bottom>
      <diagonal/>
    </border>
    <border>
      <left style="hair">
        <color auto="1"/>
      </left>
      <right style="hair">
        <color auto="1"/>
      </right>
      <top style="double">
        <color indexed="64"/>
      </top>
      <bottom style="thin">
        <color indexed="64"/>
      </bottom>
      <diagonal/>
    </border>
    <border>
      <left style="hair">
        <color auto="1"/>
      </left>
      <right style="double">
        <color auto="1"/>
      </right>
      <top style="double">
        <color indexed="64"/>
      </top>
      <bottom style="thin">
        <color auto="1"/>
      </bottom>
      <diagonal/>
    </border>
    <border>
      <left style="double">
        <color auto="1"/>
      </left>
      <right style="hair">
        <color auto="1"/>
      </right>
      <top style="thin">
        <color auto="1"/>
      </top>
      <bottom style="thin">
        <color auto="1"/>
      </bottom>
      <diagonal/>
    </border>
    <border>
      <left style="hair">
        <color auto="1"/>
      </left>
      <right style="hair">
        <color auto="1"/>
      </right>
      <top style="thin">
        <color indexed="64"/>
      </top>
      <bottom style="thin">
        <color indexed="64"/>
      </bottom>
      <diagonal/>
    </border>
    <border>
      <left style="hair">
        <color auto="1"/>
      </left>
      <right style="double">
        <color auto="1"/>
      </right>
      <top style="thin">
        <color auto="1"/>
      </top>
      <bottom style="thin">
        <color auto="1"/>
      </bottom>
      <diagonal/>
    </border>
    <border>
      <left style="double">
        <color auto="1"/>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auto="1"/>
      </left>
      <right style="double">
        <color auto="1"/>
      </right>
      <top style="thin">
        <color indexed="64"/>
      </top>
      <bottom style="double">
        <color auto="1"/>
      </bottom>
      <diagonal/>
    </border>
    <border>
      <left style="hair">
        <color auto="1"/>
      </left>
      <right style="hair">
        <color auto="1"/>
      </right>
      <top style="double">
        <color auto="1"/>
      </top>
      <bottom/>
      <diagonal/>
    </border>
    <border>
      <left style="hair">
        <color auto="1"/>
      </left>
      <right/>
      <top style="double">
        <color auto="1"/>
      </top>
      <bottom/>
      <diagonal/>
    </border>
    <border>
      <left style="hair">
        <color auto="1"/>
      </left>
      <right style="hair">
        <color auto="1"/>
      </right>
      <top/>
      <bottom style="medium">
        <color auto="1"/>
      </bottom>
      <diagonal/>
    </border>
    <border>
      <left style="hair">
        <color auto="1"/>
      </left>
      <right/>
      <top style="hair">
        <color auto="1"/>
      </top>
      <bottom style="double">
        <color indexed="64"/>
      </bottom>
      <diagonal/>
    </border>
    <border>
      <left style="hair">
        <color auto="1"/>
      </left>
      <right/>
      <top style="double">
        <color indexed="64"/>
      </top>
      <bottom style="thin">
        <color indexed="64"/>
      </bottom>
      <diagonal/>
    </border>
    <border>
      <left style="hair">
        <color auto="1"/>
      </left>
      <right/>
      <top style="thin">
        <color indexed="64"/>
      </top>
      <bottom style="thin">
        <color indexed="64"/>
      </bottom>
      <diagonal/>
    </border>
    <border>
      <left style="hair">
        <color auto="1"/>
      </left>
      <right/>
      <top style="thin">
        <color indexed="64"/>
      </top>
      <bottom style="double">
        <color auto="1"/>
      </bottom>
      <diagonal/>
    </border>
    <border>
      <left style="thin">
        <color auto="1"/>
      </left>
      <right style="hair">
        <color auto="1"/>
      </right>
      <top style="hair">
        <color auto="1"/>
      </top>
      <bottom style="double">
        <color indexed="64"/>
      </bottom>
      <diagonal/>
    </border>
    <border>
      <left style="thin">
        <color auto="1"/>
      </left>
      <right style="hair">
        <color auto="1"/>
      </right>
      <top style="double">
        <color indexed="64"/>
      </top>
      <bottom style="thin">
        <color indexed="64"/>
      </bottom>
      <diagonal/>
    </border>
    <border>
      <left style="thin">
        <color auto="1"/>
      </left>
      <right style="hair">
        <color auto="1"/>
      </right>
      <top style="thin">
        <color indexed="64"/>
      </top>
      <bottom style="double">
        <color auto="1"/>
      </bottom>
      <diagonal/>
    </border>
    <border>
      <left style="medium">
        <color auto="1"/>
      </left>
      <right/>
      <top style="hair">
        <color auto="1"/>
      </top>
      <bottom style="double">
        <color indexed="64"/>
      </bottom>
      <diagonal/>
    </border>
    <border>
      <left/>
      <right style="medium">
        <color auto="1"/>
      </right>
      <top style="hair">
        <color auto="1"/>
      </top>
      <bottom style="double">
        <color indexed="64"/>
      </bottom>
      <diagonal/>
    </border>
    <border>
      <left style="medium">
        <color auto="1"/>
      </left>
      <right/>
      <top style="double">
        <color auto="1"/>
      </top>
      <bottom style="hair">
        <color auto="1"/>
      </bottom>
      <diagonal/>
    </border>
    <border>
      <left/>
      <right/>
      <top style="double">
        <color auto="1"/>
      </top>
      <bottom style="hair">
        <color auto="1"/>
      </bottom>
      <diagonal/>
    </border>
    <border>
      <left/>
      <right style="medium">
        <color indexed="64"/>
      </right>
      <top style="double">
        <color auto="1"/>
      </top>
      <bottom style="hair">
        <color auto="1"/>
      </bottom>
      <diagonal/>
    </border>
    <border>
      <left style="medium">
        <color auto="1"/>
      </left>
      <right/>
      <top/>
      <bottom style="hair">
        <color auto="1"/>
      </bottom>
      <diagonal/>
    </border>
    <border>
      <left/>
      <right/>
      <top/>
      <bottom style="hair">
        <color auto="1"/>
      </bottom>
      <diagonal/>
    </border>
    <border>
      <left/>
      <right style="medium">
        <color indexed="64"/>
      </right>
      <top/>
      <bottom style="hair">
        <color auto="1"/>
      </bottom>
      <diagonal/>
    </border>
    <border>
      <left style="hair">
        <color auto="1"/>
      </left>
      <right style="hair">
        <color auto="1"/>
      </right>
      <top style="thin">
        <color indexed="64"/>
      </top>
      <bottom/>
      <diagonal/>
    </border>
    <border>
      <left style="double">
        <color rgb="FF000000"/>
      </left>
      <right/>
      <top style="medium">
        <color rgb="FF000000"/>
      </top>
      <bottom style="double">
        <color auto="1"/>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auto="1"/>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style="medium">
        <color auto="1"/>
      </right>
      <top style="medium">
        <color auto="1"/>
      </top>
      <bottom/>
      <diagonal/>
    </border>
    <border>
      <left style="thin">
        <color indexed="64"/>
      </left>
      <right style="hair">
        <color indexed="64"/>
      </right>
      <top/>
      <bottom style="medium">
        <color indexed="64"/>
      </bottom>
      <diagonal/>
    </border>
    <border>
      <left style="thin">
        <color auto="1"/>
      </left>
      <right/>
      <top style="hair">
        <color auto="1"/>
      </top>
      <bottom/>
      <diagonal/>
    </border>
    <border>
      <left style="double">
        <color indexed="64"/>
      </left>
      <right/>
      <top/>
      <bottom/>
      <diagonal/>
    </border>
    <border>
      <left style="double">
        <color indexed="64"/>
      </left>
      <right/>
      <top/>
      <bottom style="double">
        <color indexed="64"/>
      </bottom>
      <diagonal/>
    </border>
    <border>
      <left style="double">
        <color indexed="64"/>
      </left>
      <right/>
      <top style="medium">
        <color auto="1"/>
      </top>
      <bottom style="double">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hair">
        <color auto="1"/>
      </left>
      <right style="hair">
        <color auto="1"/>
      </right>
      <top style="hair">
        <color auto="1"/>
      </top>
      <bottom style="hair">
        <color auto="1"/>
      </bottom>
      <diagonal/>
    </border>
    <border>
      <left style="dashed">
        <color indexed="64"/>
      </left>
      <right style="medium">
        <color auto="1"/>
      </right>
      <top style="thin">
        <color auto="1"/>
      </top>
      <bottom style="medium">
        <color auto="1"/>
      </bottom>
      <diagonal/>
    </border>
    <border>
      <left style="dashed">
        <color indexed="64"/>
      </left>
      <right/>
      <top/>
      <bottom style="medium">
        <color auto="1"/>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diagonal/>
    </border>
    <border>
      <left style="medium">
        <color indexed="64"/>
      </left>
      <right style="thin">
        <color indexed="64"/>
      </right>
      <top style="thin">
        <color indexed="64"/>
      </top>
      <bottom style="medium">
        <color indexed="64"/>
      </bottom>
      <diagonal/>
    </border>
    <border>
      <left style="hair">
        <color auto="1"/>
      </left>
      <right style="medium">
        <color indexed="64"/>
      </right>
      <top style="hair">
        <color auto="1"/>
      </top>
      <bottom style="double">
        <color indexed="64"/>
      </bottom>
      <diagonal/>
    </border>
    <border>
      <left style="hair">
        <color auto="1"/>
      </left>
      <right style="medium">
        <color indexed="64"/>
      </right>
      <top style="double">
        <color indexed="64"/>
      </top>
      <bottom style="thin">
        <color auto="1"/>
      </bottom>
      <diagonal/>
    </border>
    <border>
      <left style="hair">
        <color auto="1"/>
      </left>
      <right style="medium">
        <color indexed="64"/>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auto="1"/>
      </left>
      <right style="hair">
        <color auto="1"/>
      </right>
      <top style="thin">
        <color auto="1"/>
      </top>
      <bottom style="medium">
        <color indexed="64"/>
      </bottom>
      <diagonal/>
    </border>
    <border>
      <left style="hair">
        <color auto="1"/>
      </left>
      <right style="hair">
        <color auto="1"/>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auto="1"/>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s>
  <cellStyleXfs count="6">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1673">
    <xf numFmtId="0" fontId="0" fillId="0" borderId="0" xfId="0">
      <alignment vertical="center"/>
    </xf>
    <xf numFmtId="0" fontId="8" fillId="2" borderId="0" xfId="1" applyFont="1" applyFill="1">
      <alignment vertical="center"/>
    </xf>
    <xf numFmtId="180" fontId="8" fillId="2" borderId="1" xfId="1" applyNumberFormat="1" applyFont="1" applyFill="1" applyBorder="1">
      <alignment vertical="center"/>
    </xf>
    <xf numFmtId="180" fontId="8" fillId="2" borderId="1" xfId="2" applyNumberFormat="1" applyFont="1" applyFill="1" applyBorder="1" applyAlignment="1">
      <alignment vertical="center"/>
    </xf>
    <xf numFmtId="180" fontId="8" fillId="2" borderId="68" xfId="2" applyNumberFormat="1" applyFont="1" applyFill="1" applyBorder="1" applyAlignment="1">
      <alignment vertical="center"/>
    </xf>
    <xf numFmtId="38" fontId="8" fillId="2" borderId="0" xfId="2" applyFont="1" applyFill="1" applyBorder="1">
      <alignment vertical="center"/>
    </xf>
    <xf numFmtId="0" fontId="8" fillId="2" borderId="0" xfId="1" applyFont="1" applyFill="1" applyAlignment="1">
      <alignment horizontal="center" vertical="center"/>
    </xf>
    <xf numFmtId="180" fontId="8" fillId="2" borderId="4" xfId="1" applyNumberFormat="1" applyFont="1" applyFill="1" applyBorder="1">
      <alignment vertical="center"/>
    </xf>
    <xf numFmtId="0" fontId="8" fillId="2" borderId="107" xfId="1" applyFont="1" applyFill="1" applyBorder="1" applyAlignment="1">
      <alignment horizontal="center" vertical="center" wrapText="1"/>
    </xf>
    <xf numFmtId="180" fontId="8" fillId="2" borderId="110" xfId="2" applyNumberFormat="1" applyFont="1" applyFill="1" applyBorder="1" applyAlignment="1">
      <alignment vertical="center"/>
    </xf>
    <xf numFmtId="180" fontId="8" fillId="2" borderId="117" xfId="1" applyNumberFormat="1" applyFont="1" applyFill="1" applyBorder="1">
      <alignment vertical="center"/>
    </xf>
    <xf numFmtId="180" fontId="8" fillId="2" borderId="118" xfId="1" applyNumberFormat="1" applyFont="1" applyFill="1" applyBorder="1">
      <alignment vertical="center"/>
    </xf>
    <xf numFmtId="180" fontId="8" fillId="2" borderId="119" xfId="1" applyNumberFormat="1" applyFont="1" applyFill="1" applyBorder="1">
      <alignment vertical="center"/>
    </xf>
    <xf numFmtId="180" fontId="8" fillId="2" borderId="120" xfId="1" applyNumberFormat="1" applyFont="1" applyFill="1" applyBorder="1">
      <alignment vertical="center"/>
    </xf>
    <xf numFmtId="0" fontId="8" fillId="0" borderId="0" xfId="1" applyFont="1">
      <alignment vertical="center"/>
    </xf>
    <xf numFmtId="180" fontId="8" fillId="2" borderId="13" xfId="1" applyNumberFormat="1" applyFont="1" applyFill="1" applyBorder="1">
      <alignment vertical="center"/>
    </xf>
    <xf numFmtId="180" fontId="8" fillId="2" borderId="13" xfId="2" applyNumberFormat="1" applyFont="1" applyFill="1" applyBorder="1" applyAlignment="1">
      <alignment vertical="center"/>
    </xf>
    <xf numFmtId="180" fontId="8" fillId="2" borderId="124" xfId="2" applyNumberFormat="1" applyFont="1" applyFill="1" applyBorder="1" applyAlignment="1">
      <alignment vertical="center"/>
    </xf>
    <xf numFmtId="180" fontId="8" fillId="2" borderId="133" xfId="1" applyNumberFormat="1" applyFont="1" applyFill="1" applyBorder="1">
      <alignment vertical="center"/>
    </xf>
    <xf numFmtId="180" fontId="8" fillId="2" borderId="127" xfId="1" applyNumberFormat="1" applyFont="1" applyFill="1" applyBorder="1">
      <alignment vertical="center"/>
    </xf>
    <xf numFmtId="180" fontId="8" fillId="2" borderId="134" xfId="1" applyNumberFormat="1" applyFont="1" applyFill="1" applyBorder="1">
      <alignment vertical="center"/>
    </xf>
    <xf numFmtId="180" fontId="8" fillId="2" borderId="137" xfId="1" applyNumberFormat="1" applyFont="1" applyFill="1" applyBorder="1">
      <alignment vertical="center"/>
    </xf>
    <xf numFmtId="0" fontId="8" fillId="2" borderId="138" xfId="1" applyFont="1" applyFill="1" applyBorder="1" applyAlignment="1">
      <alignment horizontal="center" vertical="center" wrapText="1"/>
    </xf>
    <xf numFmtId="0" fontId="8" fillId="2" borderId="141" xfId="1" applyFont="1" applyFill="1" applyBorder="1" applyAlignment="1">
      <alignment horizontal="center" vertical="center"/>
    </xf>
    <xf numFmtId="0" fontId="8" fillId="2" borderId="139" xfId="1" applyFont="1" applyFill="1" applyBorder="1" applyAlignment="1">
      <alignment horizontal="center" vertical="center"/>
    </xf>
    <xf numFmtId="0" fontId="8" fillId="2" borderId="144" xfId="1" applyFont="1" applyFill="1" applyBorder="1" applyAlignment="1">
      <alignment horizontal="center" vertical="center"/>
    </xf>
    <xf numFmtId="0" fontId="8" fillId="2" borderId="145" xfId="1" applyFont="1" applyFill="1" applyBorder="1" applyAlignment="1">
      <alignment horizontal="center" vertical="center"/>
    </xf>
    <xf numFmtId="180" fontId="8" fillId="2" borderId="149" xfId="1" applyNumberFormat="1" applyFont="1" applyFill="1" applyBorder="1">
      <alignment vertical="center"/>
    </xf>
    <xf numFmtId="180" fontId="8" fillId="2" borderId="111" xfId="1" applyNumberFormat="1" applyFont="1" applyFill="1" applyBorder="1">
      <alignment vertical="center"/>
    </xf>
    <xf numFmtId="0" fontId="8" fillId="2" borderId="151" xfId="1" applyFont="1" applyFill="1" applyBorder="1" applyAlignment="1">
      <alignment horizontal="center" vertical="center" wrapText="1"/>
    </xf>
    <xf numFmtId="0" fontId="8" fillId="2" borderId="151" xfId="1" applyFont="1" applyFill="1" applyBorder="1" applyAlignment="1">
      <alignment horizontal="center" vertical="center"/>
    </xf>
    <xf numFmtId="180" fontId="8" fillId="2" borderId="111" xfId="2" applyNumberFormat="1" applyFont="1" applyFill="1" applyBorder="1" applyAlignment="1">
      <alignment vertical="center"/>
    </xf>
    <xf numFmtId="0" fontId="8" fillId="0" borderId="0" xfId="1" applyFont="1" applyAlignment="1">
      <alignment horizontal="center" vertical="center"/>
    </xf>
    <xf numFmtId="0" fontId="8" fillId="0" borderId="0" xfId="1" applyFont="1" applyAlignment="1">
      <alignment horizontal="center" vertical="center" shrinkToFit="1"/>
    </xf>
    <xf numFmtId="0" fontId="8" fillId="0" borderId="0" xfId="1" applyFont="1" applyAlignment="1">
      <alignment vertical="center" shrinkToFit="1"/>
    </xf>
    <xf numFmtId="0" fontId="8" fillId="0" borderId="0" xfId="1" applyFont="1" applyAlignment="1">
      <alignment vertical="center" wrapText="1"/>
    </xf>
    <xf numFmtId="0" fontId="8" fillId="0" borderId="107" xfId="1" applyFont="1" applyBorder="1" applyAlignment="1">
      <alignment horizontal="center" vertical="center" wrapText="1"/>
    </xf>
    <xf numFmtId="0" fontId="8" fillId="0" borderId="155" xfId="1" applyFont="1" applyBorder="1" applyAlignment="1">
      <alignment horizontal="center" vertical="center"/>
    </xf>
    <xf numFmtId="0" fontId="8" fillId="0" borderId="146" xfId="1" applyFont="1" applyBorder="1" applyAlignment="1">
      <alignment vertical="center" wrapText="1"/>
    </xf>
    <xf numFmtId="20" fontId="8" fillId="0" borderId="111" xfId="1" applyNumberFormat="1" applyFont="1" applyBorder="1" applyAlignment="1">
      <alignment horizontal="center" vertical="center" wrapText="1"/>
    </xf>
    <xf numFmtId="0" fontId="8" fillId="0" borderId="131" xfId="1" applyFont="1" applyBorder="1" applyAlignment="1">
      <alignment horizontal="center" vertical="center"/>
    </xf>
    <xf numFmtId="0" fontId="8" fillId="0" borderId="112" xfId="1" applyFont="1" applyBorder="1" applyAlignment="1">
      <alignment horizontal="center" vertical="center"/>
    </xf>
    <xf numFmtId="0" fontId="8" fillId="0" borderId="157" xfId="1" applyFont="1" applyBorder="1" applyAlignment="1">
      <alignment horizontal="center" vertical="center" shrinkToFit="1"/>
    </xf>
    <xf numFmtId="0" fontId="8" fillId="0" borderId="179" xfId="1" applyFont="1" applyBorder="1" applyAlignment="1">
      <alignment horizontal="center" vertical="center" wrapText="1"/>
    </xf>
    <xf numFmtId="20" fontId="8" fillId="0" borderId="180" xfId="1" applyNumberFormat="1" applyFont="1" applyBorder="1" applyAlignment="1">
      <alignment horizontal="center" vertical="center" wrapText="1"/>
    </xf>
    <xf numFmtId="0" fontId="8" fillId="2" borderId="182" xfId="1" applyFont="1" applyFill="1" applyBorder="1" applyAlignment="1">
      <alignment horizontal="center" vertical="center"/>
    </xf>
    <xf numFmtId="180" fontId="8" fillId="2" borderId="183" xfId="1" applyNumberFormat="1" applyFont="1" applyFill="1" applyBorder="1">
      <alignment vertical="center"/>
    </xf>
    <xf numFmtId="180" fontId="8" fillId="2" borderId="112" xfId="1" applyNumberFormat="1" applyFont="1" applyFill="1" applyBorder="1">
      <alignment vertical="center"/>
    </xf>
    <xf numFmtId="180" fontId="8" fillId="2" borderId="112" xfId="2" applyNumberFormat="1" applyFont="1" applyFill="1" applyBorder="1" applyAlignment="1">
      <alignment vertical="center"/>
    </xf>
    <xf numFmtId="180" fontId="8" fillId="2" borderId="113" xfId="2" applyNumberFormat="1" applyFont="1" applyFill="1" applyBorder="1" applyAlignment="1">
      <alignment vertical="center"/>
    </xf>
    <xf numFmtId="180" fontId="8" fillId="2" borderId="187" xfId="2" applyNumberFormat="1" applyFont="1" applyFill="1" applyBorder="1" applyAlignment="1">
      <alignment vertical="center"/>
    </xf>
    <xf numFmtId="0" fontId="8" fillId="2" borderId="152" xfId="1" applyFont="1" applyFill="1" applyBorder="1" applyAlignment="1">
      <alignment horizontal="center" vertical="center"/>
    </xf>
    <xf numFmtId="180" fontId="8" fillId="2" borderId="190" xfId="1" applyNumberFormat="1" applyFont="1" applyFill="1" applyBorder="1">
      <alignment vertical="center"/>
    </xf>
    <xf numFmtId="180" fontId="8" fillId="2" borderId="97" xfId="1" applyNumberFormat="1" applyFont="1" applyFill="1" applyBorder="1">
      <alignment vertical="center"/>
    </xf>
    <xf numFmtId="0" fontId="8" fillId="2" borderId="193" xfId="1" applyFont="1" applyFill="1" applyBorder="1" applyAlignment="1">
      <alignment horizontal="left" vertical="center" wrapText="1"/>
    </xf>
    <xf numFmtId="0" fontId="8" fillId="2" borderId="208" xfId="1" applyFont="1" applyFill="1" applyBorder="1" applyAlignment="1">
      <alignment horizontal="center" vertical="center"/>
    </xf>
    <xf numFmtId="0" fontId="8" fillId="2" borderId="212" xfId="1" applyFont="1" applyFill="1" applyBorder="1" applyAlignment="1">
      <alignment horizontal="center" vertical="center"/>
    </xf>
    <xf numFmtId="180" fontId="8" fillId="2" borderId="152" xfId="1" applyNumberFormat="1" applyFont="1" applyFill="1" applyBorder="1">
      <alignment vertical="center"/>
    </xf>
    <xf numFmtId="180" fontId="8" fillId="2" borderId="151" xfId="2" applyNumberFormat="1" applyFont="1" applyFill="1" applyBorder="1" applyAlignment="1">
      <alignment vertical="center"/>
    </xf>
    <xf numFmtId="180" fontId="8" fillId="2" borderId="151" xfId="1" applyNumberFormat="1" applyFont="1" applyFill="1" applyBorder="1">
      <alignment vertical="center"/>
    </xf>
    <xf numFmtId="180" fontId="8" fillId="2" borderId="106" xfId="1" applyNumberFormat="1" applyFont="1" applyFill="1" applyBorder="1" applyAlignment="1">
      <alignment horizontal="right" vertical="center" wrapText="1"/>
    </xf>
    <xf numFmtId="180" fontId="8" fillId="2" borderId="95" xfId="1" applyNumberFormat="1" applyFont="1" applyFill="1" applyBorder="1" applyAlignment="1">
      <alignment horizontal="right" vertical="center" wrapText="1"/>
    </xf>
    <xf numFmtId="180" fontId="8" fillId="2" borderId="147" xfId="1" applyNumberFormat="1" applyFont="1" applyFill="1" applyBorder="1" applyAlignment="1">
      <alignment horizontal="right" vertical="center" wrapText="1"/>
    </xf>
    <xf numFmtId="180" fontId="8" fillId="2" borderId="109" xfId="1" applyNumberFormat="1" applyFont="1" applyFill="1" applyBorder="1" applyAlignment="1">
      <alignment horizontal="right" vertical="center" wrapText="1"/>
    </xf>
    <xf numFmtId="180" fontId="8" fillId="2" borderId="101" xfId="1" applyNumberFormat="1" applyFont="1" applyFill="1" applyBorder="1">
      <alignment vertical="center"/>
    </xf>
    <xf numFmtId="180" fontId="8" fillId="2" borderId="78" xfId="1" applyNumberFormat="1" applyFont="1" applyFill="1" applyBorder="1">
      <alignment vertical="center"/>
    </xf>
    <xf numFmtId="180" fontId="8" fillId="2" borderId="78" xfId="2" applyNumberFormat="1" applyFont="1" applyFill="1" applyBorder="1" applyAlignment="1">
      <alignment vertical="center"/>
    </xf>
    <xf numFmtId="180" fontId="8" fillId="2" borderId="169" xfId="2" applyNumberFormat="1" applyFont="1" applyFill="1" applyBorder="1" applyAlignment="1">
      <alignment vertical="center"/>
    </xf>
    <xf numFmtId="180" fontId="8" fillId="2" borderId="102" xfId="1" applyNumberFormat="1" applyFont="1" applyFill="1" applyBorder="1">
      <alignment vertical="center"/>
    </xf>
    <xf numFmtId="180" fontId="8" fillId="2" borderId="104" xfId="1" applyNumberFormat="1" applyFont="1" applyFill="1" applyBorder="1" applyAlignment="1">
      <alignment horizontal="right" vertical="center" wrapText="1"/>
    </xf>
    <xf numFmtId="180" fontId="8" fillId="2" borderId="94" xfId="1" applyNumberFormat="1" applyFont="1" applyFill="1" applyBorder="1" applyAlignment="1">
      <alignment horizontal="right" vertical="center" wrapText="1"/>
    </xf>
    <xf numFmtId="180" fontId="8" fillId="2" borderId="115" xfId="1" applyNumberFormat="1" applyFont="1" applyFill="1" applyBorder="1" applyAlignment="1">
      <alignment horizontal="right" vertical="center" wrapText="1"/>
    </xf>
    <xf numFmtId="180" fontId="8" fillId="2" borderId="100" xfId="1" applyNumberFormat="1" applyFont="1" applyFill="1" applyBorder="1">
      <alignment vertical="center"/>
    </xf>
    <xf numFmtId="180" fontId="8" fillId="2" borderId="50" xfId="1" applyNumberFormat="1" applyFont="1" applyFill="1" applyBorder="1">
      <alignment vertical="center"/>
    </xf>
    <xf numFmtId="180" fontId="8" fillId="2" borderId="50" xfId="2" applyNumberFormat="1" applyFont="1" applyFill="1" applyBorder="1" applyAlignment="1">
      <alignment vertical="center"/>
    </xf>
    <xf numFmtId="180" fontId="8" fillId="2" borderId="167" xfId="2" applyNumberFormat="1" applyFont="1" applyFill="1" applyBorder="1" applyAlignment="1">
      <alignment vertical="center"/>
    </xf>
    <xf numFmtId="180" fontId="8" fillId="2" borderId="98" xfId="1" applyNumberFormat="1" applyFont="1" applyFill="1" applyBorder="1">
      <alignment vertical="center"/>
    </xf>
    <xf numFmtId="180" fontId="8" fillId="2" borderId="90" xfId="1" applyNumberFormat="1" applyFont="1" applyFill="1" applyBorder="1">
      <alignment vertical="center"/>
    </xf>
    <xf numFmtId="180" fontId="8" fillId="2" borderId="90" xfId="2" applyNumberFormat="1" applyFont="1" applyFill="1" applyBorder="1" applyAlignment="1">
      <alignment vertical="center"/>
    </xf>
    <xf numFmtId="180" fontId="8" fillId="2" borderId="168" xfId="2" applyNumberFormat="1" applyFont="1" applyFill="1" applyBorder="1" applyAlignment="1">
      <alignment vertical="center"/>
    </xf>
    <xf numFmtId="180" fontId="8" fillId="2" borderId="99" xfId="1" applyNumberFormat="1" applyFont="1" applyFill="1" applyBorder="1">
      <alignment vertical="center"/>
    </xf>
    <xf numFmtId="180" fontId="8" fillId="2" borderId="151" xfId="1" applyNumberFormat="1" applyFont="1" applyFill="1" applyBorder="1" applyAlignment="1">
      <alignment horizontal="right" vertical="center" wrapText="1"/>
    </xf>
    <xf numFmtId="180" fontId="8" fillId="2" borderId="131" xfId="1" applyNumberFormat="1" applyFont="1" applyFill="1" applyBorder="1">
      <alignment vertical="center"/>
    </xf>
    <xf numFmtId="180" fontId="8" fillId="2" borderId="9" xfId="2" applyNumberFormat="1" applyFont="1" applyFill="1" applyBorder="1">
      <alignment vertical="center"/>
    </xf>
    <xf numFmtId="180" fontId="8" fillId="2" borderId="14" xfId="2" applyNumberFormat="1" applyFont="1" applyFill="1" applyBorder="1">
      <alignment vertical="center"/>
    </xf>
    <xf numFmtId="180" fontId="8" fillId="2" borderId="152" xfId="1" applyNumberFormat="1" applyFont="1" applyFill="1" applyBorder="1" applyAlignment="1">
      <alignment horizontal="right" vertical="center" wrapText="1"/>
    </xf>
    <xf numFmtId="180" fontId="8" fillId="2" borderId="165" xfId="2" applyNumberFormat="1" applyFont="1" applyFill="1" applyBorder="1">
      <alignment vertical="center"/>
    </xf>
    <xf numFmtId="180" fontId="8" fillId="2" borderId="163" xfId="2" applyNumberFormat="1" applyFont="1" applyFill="1" applyBorder="1">
      <alignment vertical="center"/>
    </xf>
    <xf numFmtId="180" fontId="8" fillId="2" borderId="25" xfId="2" applyNumberFormat="1" applyFont="1" applyFill="1" applyBorder="1">
      <alignment vertical="center"/>
    </xf>
    <xf numFmtId="180" fontId="8" fillId="2" borderId="8" xfId="2" applyNumberFormat="1" applyFont="1" applyFill="1" applyBorder="1">
      <alignment vertical="center"/>
    </xf>
    <xf numFmtId="180" fontId="8" fillId="2" borderId="13" xfId="2" applyNumberFormat="1" applyFont="1" applyFill="1" applyBorder="1">
      <alignment vertical="center"/>
    </xf>
    <xf numFmtId="180" fontId="8" fillId="2" borderId="124" xfId="2" applyNumberFormat="1" applyFont="1" applyFill="1" applyBorder="1">
      <alignment vertical="center"/>
    </xf>
    <xf numFmtId="180" fontId="8" fillId="2" borderId="99" xfId="2" applyNumberFormat="1" applyFont="1" applyFill="1" applyBorder="1">
      <alignment vertical="center"/>
    </xf>
    <xf numFmtId="180" fontId="8" fillId="2" borderId="67" xfId="2" applyNumberFormat="1" applyFont="1" applyFill="1" applyBorder="1">
      <alignment vertical="center"/>
    </xf>
    <xf numFmtId="180" fontId="8" fillId="2" borderId="103" xfId="1" applyNumberFormat="1" applyFont="1" applyFill="1" applyBorder="1" applyAlignment="1">
      <alignment horizontal="right" vertical="center" wrapText="1"/>
    </xf>
    <xf numFmtId="180" fontId="8" fillId="2" borderId="114" xfId="1" applyNumberFormat="1" applyFont="1" applyFill="1" applyBorder="1" applyAlignment="1">
      <alignment horizontal="right" vertical="center" wrapText="1"/>
    </xf>
    <xf numFmtId="180" fontId="8" fillId="2" borderId="184" xfId="1" applyNumberFormat="1" applyFont="1" applyFill="1" applyBorder="1">
      <alignment vertical="center"/>
    </xf>
    <xf numFmtId="180" fontId="8" fillId="2" borderId="127" xfId="2" applyNumberFormat="1" applyFont="1" applyFill="1" applyBorder="1" applyAlignment="1">
      <alignment vertical="center"/>
    </xf>
    <xf numFmtId="180" fontId="8" fillId="2" borderId="128" xfId="2" applyNumberFormat="1" applyFont="1" applyFill="1" applyBorder="1" applyAlignment="1">
      <alignment vertical="center"/>
    </xf>
    <xf numFmtId="180" fontId="8" fillId="2" borderId="136" xfId="2" applyNumberFormat="1" applyFont="1" applyFill="1" applyBorder="1">
      <alignment vertical="center"/>
    </xf>
    <xf numFmtId="180" fontId="8" fillId="2" borderId="127" xfId="2" applyNumberFormat="1" applyFont="1" applyFill="1" applyBorder="1">
      <alignment vertical="center"/>
    </xf>
    <xf numFmtId="180" fontId="8" fillId="2" borderId="128" xfId="2" applyNumberFormat="1" applyFont="1" applyFill="1" applyBorder="1">
      <alignment vertical="center"/>
    </xf>
    <xf numFmtId="180" fontId="8" fillId="2" borderId="132" xfId="1" applyNumberFormat="1" applyFont="1" applyFill="1" applyBorder="1">
      <alignment vertical="center"/>
    </xf>
    <xf numFmtId="180" fontId="8" fillId="2" borderId="133" xfId="2" applyNumberFormat="1" applyFont="1" applyFill="1" applyBorder="1">
      <alignment vertical="center"/>
    </xf>
    <xf numFmtId="180" fontId="8" fillId="2" borderId="166" xfId="1" applyNumberFormat="1" applyFont="1" applyFill="1" applyBorder="1">
      <alignment vertical="center"/>
    </xf>
    <xf numFmtId="180" fontId="8" fillId="2" borderId="4" xfId="2" applyNumberFormat="1" applyFont="1" applyFill="1" applyBorder="1">
      <alignment vertical="center"/>
    </xf>
    <xf numFmtId="180" fontId="8" fillId="2" borderId="1" xfId="2" applyNumberFormat="1" applyFont="1" applyFill="1" applyBorder="1">
      <alignment vertical="center"/>
    </xf>
    <xf numFmtId="180" fontId="8" fillId="2" borderId="110" xfId="2" applyNumberFormat="1" applyFont="1" applyFill="1" applyBorder="1">
      <alignment vertical="center"/>
    </xf>
    <xf numFmtId="180" fontId="8" fillId="2" borderId="102" xfId="2" applyNumberFormat="1" applyFont="1" applyFill="1" applyBorder="1">
      <alignment vertical="center"/>
    </xf>
    <xf numFmtId="180" fontId="8" fillId="2" borderId="209" xfId="2" applyNumberFormat="1" applyFont="1" applyFill="1" applyBorder="1">
      <alignment vertical="center"/>
    </xf>
    <xf numFmtId="180" fontId="8" fillId="2" borderId="119" xfId="2" applyNumberFormat="1" applyFont="1" applyFill="1" applyBorder="1">
      <alignment vertical="center"/>
    </xf>
    <xf numFmtId="180" fontId="8" fillId="2" borderId="193" xfId="1" applyNumberFormat="1" applyFont="1" applyFill="1" applyBorder="1" applyAlignment="1">
      <alignment horizontal="right" vertical="center" wrapText="1"/>
    </xf>
    <xf numFmtId="180" fontId="8" fillId="2" borderId="120" xfId="2" applyNumberFormat="1" applyFont="1" applyFill="1" applyBorder="1">
      <alignment vertical="center"/>
    </xf>
    <xf numFmtId="180" fontId="8" fillId="2" borderId="209" xfId="1" applyNumberFormat="1" applyFont="1" applyFill="1" applyBorder="1">
      <alignment vertical="center"/>
    </xf>
    <xf numFmtId="180" fontId="8" fillId="2" borderId="203" xfId="2" applyNumberFormat="1" applyFont="1" applyFill="1" applyBorder="1">
      <alignment vertical="center"/>
    </xf>
    <xf numFmtId="180" fontId="8" fillId="2" borderId="204" xfId="2" applyNumberFormat="1" applyFont="1" applyFill="1" applyBorder="1">
      <alignment vertical="center"/>
    </xf>
    <xf numFmtId="180" fontId="8" fillId="2" borderId="200" xfId="1" applyNumberFormat="1" applyFont="1" applyFill="1" applyBorder="1" applyAlignment="1">
      <alignment horizontal="right" vertical="center" wrapText="1"/>
    </xf>
    <xf numFmtId="180" fontId="8" fillId="2" borderId="205" xfId="2" applyNumberFormat="1" applyFont="1" applyFill="1" applyBorder="1">
      <alignment vertical="center"/>
    </xf>
    <xf numFmtId="180" fontId="8" fillId="2" borderId="203" xfId="1" applyNumberFormat="1" applyFont="1" applyFill="1" applyBorder="1">
      <alignment vertical="center"/>
    </xf>
    <xf numFmtId="180" fontId="8" fillId="2" borderId="204" xfId="1" applyNumberFormat="1" applyFont="1" applyFill="1" applyBorder="1">
      <alignment vertical="center"/>
    </xf>
    <xf numFmtId="180" fontId="8" fillId="2" borderId="194" xfId="1" applyNumberFormat="1" applyFont="1" applyFill="1" applyBorder="1" applyAlignment="1">
      <alignment horizontal="right" vertical="center" wrapText="1"/>
    </xf>
    <xf numFmtId="180" fontId="8" fillId="2" borderId="116" xfId="1" applyNumberFormat="1" applyFont="1" applyFill="1" applyBorder="1" applyAlignment="1">
      <alignment horizontal="right" vertical="center" wrapText="1"/>
    </xf>
    <xf numFmtId="180" fontId="8" fillId="2" borderId="195" xfId="1" applyNumberFormat="1" applyFont="1" applyFill="1" applyBorder="1" applyAlignment="1">
      <alignment horizontal="right" vertical="center" wrapText="1"/>
    </xf>
    <xf numFmtId="180" fontId="8" fillId="2" borderId="196" xfId="1" applyNumberFormat="1" applyFont="1" applyFill="1" applyBorder="1">
      <alignment vertical="center"/>
    </xf>
    <xf numFmtId="180" fontId="8" fillId="2" borderId="118" xfId="2" applyNumberFormat="1" applyFont="1" applyFill="1" applyBorder="1" applyAlignment="1">
      <alignment vertical="center"/>
    </xf>
    <xf numFmtId="180" fontId="8" fillId="2" borderId="197" xfId="2" applyNumberFormat="1" applyFont="1" applyFill="1" applyBorder="1" applyAlignment="1">
      <alignment vertical="center"/>
    </xf>
    <xf numFmtId="180" fontId="8" fillId="2" borderId="148" xfId="1" applyNumberFormat="1" applyFont="1" applyFill="1" applyBorder="1" applyAlignment="1">
      <alignment horizontal="right" vertical="center" wrapText="1"/>
    </xf>
    <xf numFmtId="180" fontId="8" fillId="2" borderId="201" xfId="1" applyNumberFormat="1" applyFont="1" applyFill="1" applyBorder="1" applyAlignment="1">
      <alignment horizontal="right" vertical="center" wrapText="1"/>
    </xf>
    <xf numFmtId="180" fontId="8" fillId="2" borderId="199" xfId="1" applyNumberFormat="1" applyFont="1" applyFill="1" applyBorder="1" applyAlignment="1">
      <alignment horizontal="right" vertical="center" wrapText="1"/>
    </xf>
    <xf numFmtId="180" fontId="8" fillId="2" borderId="202" xfId="1" applyNumberFormat="1" applyFont="1" applyFill="1" applyBorder="1" applyAlignment="1">
      <alignment horizontal="right" vertical="center" wrapText="1"/>
    </xf>
    <xf numFmtId="180" fontId="8" fillId="2" borderId="204" xfId="2" applyNumberFormat="1" applyFont="1" applyFill="1" applyBorder="1" applyAlignment="1">
      <alignment vertical="center"/>
    </xf>
    <xf numFmtId="180" fontId="8" fillId="2" borderId="205" xfId="2" applyNumberFormat="1" applyFont="1" applyFill="1" applyBorder="1" applyAlignment="1">
      <alignment vertical="center"/>
    </xf>
    <xf numFmtId="180" fontId="8" fillId="2" borderId="214" xfId="1" applyNumberFormat="1" applyFont="1" applyFill="1" applyBorder="1">
      <alignment vertical="center"/>
    </xf>
    <xf numFmtId="180" fontId="8" fillId="2" borderId="119" xfId="2" applyNumberFormat="1" applyFont="1" applyFill="1" applyBorder="1" applyAlignment="1">
      <alignment vertical="center"/>
    </xf>
    <xf numFmtId="180" fontId="8" fillId="2" borderId="120" xfId="2" applyNumberFormat="1" applyFont="1" applyFill="1" applyBorder="1" applyAlignment="1">
      <alignment vertical="center"/>
    </xf>
    <xf numFmtId="180" fontId="8" fillId="2" borderId="215" xfId="1" applyNumberFormat="1" applyFont="1" applyFill="1" applyBorder="1">
      <alignment vertical="center"/>
    </xf>
    <xf numFmtId="180" fontId="8" fillId="2" borderId="213" xfId="2" applyNumberFormat="1" applyFont="1" applyFill="1" applyBorder="1">
      <alignment vertical="center"/>
    </xf>
    <xf numFmtId="180" fontId="8" fillId="2" borderId="216" xfId="2" applyNumberFormat="1" applyFont="1" applyFill="1" applyBorder="1">
      <alignment vertical="center"/>
    </xf>
    <xf numFmtId="180" fontId="8" fillId="2" borderId="6" xfId="2" applyNumberFormat="1" applyFont="1" applyFill="1" applyBorder="1">
      <alignment vertical="center"/>
    </xf>
    <xf numFmtId="180" fontId="8" fillId="2" borderId="217" xfId="2" applyNumberFormat="1" applyFont="1" applyFill="1" applyBorder="1">
      <alignment vertical="center"/>
    </xf>
    <xf numFmtId="180" fontId="13" fillId="2" borderId="149" xfId="1" applyNumberFormat="1" applyFont="1" applyFill="1" applyBorder="1">
      <alignment vertical="center"/>
    </xf>
    <xf numFmtId="180" fontId="13" fillId="2" borderId="111" xfId="1" applyNumberFormat="1" applyFont="1" applyFill="1" applyBorder="1">
      <alignment vertical="center"/>
    </xf>
    <xf numFmtId="180" fontId="13" fillId="2" borderId="150" xfId="1" applyNumberFormat="1" applyFont="1" applyFill="1" applyBorder="1">
      <alignment vertical="center"/>
    </xf>
    <xf numFmtId="0" fontId="7" fillId="2" borderId="0" xfId="0" applyFont="1" applyFill="1">
      <alignment vertical="center"/>
    </xf>
    <xf numFmtId="0" fontId="14" fillId="2" borderId="0" xfId="0" applyFont="1" applyFill="1">
      <alignment vertical="center"/>
    </xf>
    <xf numFmtId="0" fontId="7" fillId="3" borderId="7" xfId="0" applyFont="1" applyFill="1" applyBorder="1">
      <alignment vertical="center"/>
    </xf>
    <xf numFmtId="49" fontId="7" fillId="3" borderId="7" xfId="0" applyNumberFormat="1" applyFont="1" applyFill="1" applyBorder="1">
      <alignment vertical="center"/>
    </xf>
    <xf numFmtId="0" fontId="7" fillId="3" borderId="7" xfId="0" applyFont="1" applyFill="1" applyBorder="1" applyAlignment="1">
      <alignment vertical="center" shrinkToFit="1"/>
    </xf>
    <xf numFmtId="0" fontId="7" fillId="3" borderId="11" xfId="0" applyFont="1" applyFill="1" applyBorder="1">
      <alignment vertical="center"/>
    </xf>
    <xf numFmtId="49" fontId="7" fillId="3" borderId="11" xfId="0" applyNumberFormat="1" applyFont="1" applyFill="1" applyBorder="1">
      <alignment vertical="center"/>
    </xf>
    <xf numFmtId="0" fontId="7" fillId="3" borderId="11" xfId="0" applyFont="1" applyFill="1" applyBorder="1" applyAlignment="1">
      <alignment vertical="center" shrinkToFit="1"/>
    </xf>
    <xf numFmtId="0" fontId="9" fillId="2" borderId="19" xfId="0" applyFont="1" applyFill="1" applyBorder="1" applyAlignment="1">
      <alignment horizontal="center" vertical="top"/>
    </xf>
    <xf numFmtId="0" fontId="6" fillId="2" borderId="0" xfId="0" applyFont="1" applyFill="1">
      <alignment vertical="center"/>
    </xf>
    <xf numFmtId="0" fontId="9" fillId="2" borderId="62" xfId="0" applyFont="1" applyFill="1" applyBorder="1" applyAlignment="1">
      <alignment vertical="top"/>
    </xf>
    <xf numFmtId="0" fontId="0" fillId="0" borderId="7" xfId="0" applyBorder="1">
      <alignment vertical="center"/>
    </xf>
    <xf numFmtId="0" fontId="0" fillId="0" borderId="8" xfId="0" applyBorder="1">
      <alignment vertical="center"/>
    </xf>
    <xf numFmtId="0" fontId="5" fillId="6" borderId="16" xfId="0" applyFont="1" applyFill="1" applyBorder="1" applyAlignment="1">
      <alignment horizontal="center" vertical="center"/>
    </xf>
    <xf numFmtId="0" fontId="5" fillId="0" borderId="2" xfId="0" applyFont="1" applyBorder="1">
      <alignment vertical="center"/>
    </xf>
    <xf numFmtId="0" fontId="5" fillId="5" borderId="16" xfId="0" applyFont="1" applyFill="1" applyBorder="1">
      <alignment vertical="center"/>
    </xf>
    <xf numFmtId="0" fontId="5" fillId="0" borderId="3" xfId="0" applyFont="1" applyBorder="1">
      <alignment vertical="center"/>
    </xf>
    <xf numFmtId="0" fontId="5" fillId="0" borderId="0" xfId="0" applyFont="1" applyAlignment="1">
      <alignment horizontal="left" vertical="center"/>
    </xf>
    <xf numFmtId="0" fontId="5" fillId="0" borderId="11" xfId="0" applyFont="1" applyBorder="1">
      <alignment vertical="center"/>
    </xf>
    <xf numFmtId="0" fontId="5" fillId="0" borderId="0" xfId="0" applyFont="1">
      <alignment vertical="center"/>
    </xf>
    <xf numFmtId="0" fontId="5" fillId="0" borderId="162" xfId="0" applyFont="1" applyBorder="1" applyAlignment="1">
      <alignment horizontal="center" vertical="center"/>
    </xf>
    <xf numFmtId="0" fontId="5" fillId="7" borderId="50" xfId="0" applyFont="1" applyFill="1" applyBorder="1" applyAlignment="1">
      <alignment horizontal="center" vertical="center"/>
    </xf>
    <xf numFmtId="0" fontId="15" fillId="2" borderId="27" xfId="0" applyFont="1" applyFill="1" applyBorder="1">
      <alignment vertical="center"/>
    </xf>
    <xf numFmtId="0" fontId="15" fillId="2" borderId="0" xfId="0" applyFont="1" applyFill="1">
      <alignment vertical="center"/>
    </xf>
    <xf numFmtId="0" fontId="7" fillId="2" borderId="0" xfId="0" applyFont="1" applyFill="1" applyAlignment="1">
      <alignment horizontal="right" vertical="center"/>
    </xf>
    <xf numFmtId="0" fontId="7" fillId="0" borderId="0" xfId="0" applyFont="1" applyAlignment="1">
      <alignment vertical="top"/>
    </xf>
    <xf numFmtId="0" fontId="8" fillId="2" borderId="147" xfId="1" applyFont="1" applyFill="1" applyBorder="1" applyAlignment="1">
      <alignment horizontal="left" vertical="center" wrapText="1"/>
    </xf>
    <xf numFmtId="0" fontId="8" fillId="2" borderId="139" xfId="1" applyFont="1" applyFill="1" applyBorder="1" applyAlignment="1">
      <alignment horizontal="left" vertical="center" wrapText="1"/>
    </xf>
    <xf numFmtId="0" fontId="5" fillId="3" borderId="50" xfId="0" applyFont="1" applyFill="1" applyBorder="1" applyAlignment="1">
      <alignment horizontal="center" vertical="center"/>
    </xf>
    <xf numFmtId="0" fontId="5" fillId="3" borderId="16" xfId="0" applyFont="1" applyFill="1" applyBorder="1" applyAlignment="1">
      <alignment horizontal="center" vertical="center"/>
    </xf>
    <xf numFmtId="0" fontId="15" fillId="2" borderId="0" xfId="0" applyFont="1" applyFill="1" applyAlignment="1">
      <alignment horizontal="center" vertical="center"/>
    </xf>
    <xf numFmtId="0" fontId="7" fillId="2" borderId="9" xfId="0" applyFont="1" applyFill="1" applyBorder="1">
      <alignment vertical="center"/>
    </xf>
    <xf numFmtId="179" fontId="7" fillId="2" borderId="9" xfId="0" applyNumberFormat="1" applyFont="1" applyFill="1" applyBorder="1">
      <alignment vertical="center"/>
    </xf>
    <xf numFmtId="0" fontId="5" fillId="0" borderId="29" xfId="0" applyFont="1" applyBorder="1" applyAlignment="1">
      <alignment horizontal="center" vertical="center"/>
    </xf>
    <xf numFmtId="0" fontId="5" fillId="0" borderId="0" xfId="0" applyFont="1" applyAlignment="1">
      <alignment horizontal="center" vertical="center"/>
    </xf>
    <xf numFmtId="0" fontId="17" fillId="0" borderId="0" xfId="1" applyFont="1" applyAlignment="1">
      <alignment vertical="center" wrapText="1" shrinkToFit="1"/>
    </xf>
    <xf numFmtId="0" fontId="18" fillId="2" borderId="0" xfId="0" applyFont="1" applyFill="1">
      <alignment vertical="center"/>
    </xf>
    <xf numFmtId="0" fontId="8" fillId="3" borderId="6" xfId="0" applyFont="1" applyFill="1" applyBorder="1">
      <alignment vertical="center"/>
    </xf>
    <xf numFmtId="49" fontId="8" fillId="3" borderId="7" xfId="0" applyNumberFormat="1" applyFont="1" applyFill="1" applyBorder="1">
      <alignment vertical="center"/>
    </xf>
    <xf numFmtId="0" fontId="8" fillId="3" borderId="7" xfId="0" applyFont="1" applyFill="1" applyBorder="1">
      <alignment vertical="center"/>
    </xf>
    <xf numFmtId="0" fontId="8" fillId="3" borderId="5" xfId="0" applyFont="1" applyFill="1" applyBorder="1">
      <alignment vertical="center"/>
    </xf>
    <xf numFmtId="0" fontId="5" fillId="5" borderId="16" xfId="0" applyFont="1" applyFill="1" applyBorder="1" applyAlignment="1">
      <alignment horizontal="center" vertical="center"/>
    </xf>
    <xf numFmtId="0" fontId="5" fillId="0" borderId="1" xfId="0" applyFont="1" applyBorder="1" applyAlignment="1">
      <alignment horizontal="center" vertical="center"/>
    </xf>
    <xf numFmtId="0" fontId="14" fillId="2" borderId="0" xfId="0" applyFont="1" applyFill="1" applyAlignment="1">
      <alignment horizontal="center" vertical="center"/>
    </xf>
    <xf numFmtId="0" fontId="7" fillId="2" borderId="19" xfId="0" applyFont="1" applyFill="1" applyBorder="1" applyAlignment="1" applyProtection="1">
      <alignment horizontal="center" vertical="center"/>
      <protection locked="0"/>
    </xf>
    <xf numFmtId="0" fontId="0" fillId="0" borderId="0" xfId="0" applyAlignment="1">
      <alignment horizontal="right" vertical="center"/>
    </xf>
    <xf numFmtId="0" fontId="0" fillId="3" borderId="1" xfId="0" applyFill="1" applyBorder="1">
      <alignment vertical="center"/>
    </xf>
    <xf numFmtId="0" fontId="7" fillId="2" borderId="0" xfId="0" applyFont="1" applyFill="1" applyAlignment="1">
      <alignment horizontal="left" vertical="top" wrapText="1"/>
    </xf>
    <xf numFmtId="0" fontId="7" fillId="2" borderId="0" xfId="0" applyFont="1" applyFill="1" applyAlignment="1">
      <alignment horizontal="center" vertical="center" wrapText="1"/>
    </xf>
    <xf numFmtId="0" fontId="7" fillId="2" borderId="0" xfId="0" applyFont="1" applyFill="1" applyAlignment="1">
      <alignment horizontal="center" vertical="top" wrapText="1"/>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0" xfId="0" applyFont="1" applyFill="1" applyAlignment="1">
      <alignment horizontal="center" vertical="center"/>
    </xf>
    <xf numFmtId="14" fontId="7" fillId="2" borderId="0" xfId="0" applyNumberFormat="1" applyFont="1" applyFill="1" applyAlignment="1">
      <alignment vertical="center" shrinkToFit="1"/>
    </xf>
    <xf numFmtId="14" fontId="7" fillId="2" borderId="9" xfId="0" applyNumberFormat="1" applyFont="1" applyFill="1" applyBorder="1" applyAlignment="1">
      <alignment vertical="center" shrinkToFit="1"/>
    </xf>
    <xf numFmtId="14" fontId="7" fillId="2" borderId="0" xfId="0" applyNumberFormat="1" applyFont="1" applyFill="1" applyAlignment="1">
      <alignment horizontal="center" vertical="center" shrinkToFit="1"/>
    </xf>
    <xf numFmtId="0" fontId="7" fillId="11" borderId="0" xfId="0" applyFont="1" applyFill="1">
      <alignment vertical="center"/>
    </xf>
    <xf numFmtId="0" fontId="7" fillId="11" borderId="16" xfId="0" applyFont="1" applyFill="1" applyBorder="1" applyProtection="1">
      <alignment vertical="center"/>
      <protection locked="0"/>
    </xf>
    <xf numFmtId="49" fontId="7" fillId="11" borderId="0" xfId="0" applyNumberFormat="1" applyFont="1" applyFill="1">
      <alignment vertical="center"/>
    </xf>
    <xf numFmtId="0" fontId="6" fillId="11" borderId="0" xfId="0" applyFont="1" applyFill="1">
      <alignment vertical="center"/>
    </xf>
    <xf numFmtId="0" fontId="8" fillId="2" borderId="0" xfId="0" applyFont="1" applyFill="1" applyAlignment="1">
      <alignment horizontal="center" vertical="center"/>
    </xf>
    <xf numFmtId="0" fontId="18" fillId="11" borderId="0" xfId="0" applyFont="1" applyFill="1">
      <alignment vertical="center"/>
    </xf>
    <xf numFmtId="0" fontId="7" fillId="11" borderId="173" xfId="0" applyFont="1" applyFill="1" applyBorder="1" applyAlignment="1">
      <alignment horizontal="center" vertical="center"/>
    </xf>
    <xf numFmtId="0" fontId="7" fillId="11" borderId="174" xfId="0" applyFont="1" applyFill="1" applyBorder="1" applyAlignment="1">
      <alignment horizontal="center" vertical="center"/>
    </xf>
    <xf numFmtId="0" fontId="7" fillId="11" borderId="39" xfId="0" applyFont="1" applyFill="1" applyBorder="1" applyAlignment="1">
      <alignment horizontal="center" vertical="center"/>
    </xf>
    <xf numFmtId="0" fontId="7" fillId="11" borderId="37" xfId="0" applyFont="1" applyFill="1" applyBorder="1" applyAlignment="1">
      <alignment horizontal="center" vertical="center"/>
    </xf>
    <xf numFmtId="0" fontId="9" fillId="11" borderId="5" xfId="0" applyFont="1" applyFill="1" applyBorder="1" applyAlignment="1">
      <alignment horizontal="left" vertical="center" shrinkToFit="1"/>
    </xf>
    <xf numFmtId="0" fontId="9" fillId="11" borderId="89" xfId="0" applyFont="1" applyFill="1" applyBorder="1" applyAlignment="1">
      <alignment horizontal="left" vertical="center" shrinkToFit="1"/>
    </xf>
    <xf numFmtId="41" fontId="9" fillId="11" borderId="88" xfId="0" applyNumberFormat="1" applyFont="1" applyFill="1" applyBorder="1" applyAlignment="1">
      <alignment horizontal="center" vertical="center" shrinkToFit="1"/>
    </xf>
    <xf numFmtId="180" fontId="7" fillId="11" borderId="5" xfId="0" applyNumberFormat="1" applyFont="1" applyFill="1" applyBorder="1" applyAlignment="1">
      <alignment horizontal="right" vertical="center"/>
    </xf>
    <xf numFmtId="180" fontId="7" fillId="11" borderId="89" xfId="0" applyNumberFormat="1" applyFont="1" applyFill="1" applyBorder="1" applyAlignment="1">
      <alignment horizontal="right" vertical="center"/>
    </xf>
    <xf numFmtId="41" fontId="7" fillId="11" borderId="88" xfId="0" applyNumberFormat="1" applyFont="1" applyFill="1" applyBorder="1" applyAlignment="1">
      <alignment horizontal="right" vertical="center"/>
    </xf>
    <xf numFmtId="0" fontId="9" fillId="11" borderId="6" xfId="0" applyFont="1" applyFill="1" applyBorder="1" applyAlignment="1">
      <alignment horizontal="left" vertical="center" shrinkToFit="1"/>
    </xf>
    <xf numFmtId="0" fontId="9" fillId="11" borderId="172" xfId="0" applyFont="1" applyFill="1" applyBorder="1" applyAlignment="1">
      <alignment horizontal="left" vertical="center" shrinkToFit="1"/>
    </xf>
    <xf numFmtId="0" fontId="9" fillId="11" borderId="41" xfId="0" applyFont="1" applyFill="1" applyBorder="1" applyAlignment="1">
      <alignment horizontal="left" vertical="center" shrinkToFit="1"/>
    </xf>
    <xf numFmtId="41" fontId="9" fillId="11" borderId="225" xfId="0" applyNumberFormat="1" applyFont="1" applyFill="1" applyBorder="1" applyAlignment="1">
      <alignment horizontal="center" vertical="center" shrinkToFit="1"/>
    </xf>
    <xf numFmtId="180" fontId="7" fillId="11" borderId="10" xfId="0" applyNumberFormat="1" applyFont="1" applyFill="1" applyBorder="1" applyAlignment="1">
      <alignment horizontal="right" vertical="center"/>
    </xf>
    <xf numFmtId="180" fontId="7" fillId="11" borderId="74" xfId="0" applyNumberFormat="1" applyFont="1" applyFill="1" applyBorder="1" applyAlignment="1">
      <alignment horizontal="right" vertical="center"/>
    </xf>
    <xf numFmtId="41" fontId="7" fillId="11" borderId="87" xfId="0" applyNumberFormat="1" applyFont="1" applyFill="1" applyBorder="1" applyAlignment="1">
      <alignment horizontal="right" vertical="center"/>
    </xf>
    <xf numFmtId="180" fontId="7" fillId="11" borderId="65" xfId="0" applyNumberFormat="1" applyFont="1" applyFill="1" applyBorder="1" applyAlignment="1">
      <alignment horizontal="right" vertical="center"/>
    </xf>
    <xf numFmtId="0" fontId="9" fillId="11" borderId="174" xfId="0" applyFont="1" applyFill="1" applyBorder="1" applyAlignment="1">
      <alignment horizontal="left" vertical="center" shrinkToFit="1"/>
    </xf>
    <xf numFmtId="0" fontId="9" fillId="11" borderId="86" xfId="0" applyFont="1" applyFill="1" applyBorder="1" applyAlignment="1">
      <alignment horizontal="left" vertical="center" shrinkToFit="1"/>
    </xf>
    <xf numFmtId="41" fontId="9" fillId="11" borderId="85" xfId="0" applyNumberFormat="1" applyFont="1" applyFill="1" applyBorder="1" applyAlignment="1">
      <alignment horizontal="center" vertical="center" shrinkToFit="1"/>
    </xf>
    <xf numFmtId="180" fontId="7" fillId="11" borderId="26" xfId="0" applyNumberFormat="1" applyFont="1" applyFill="1" applyBorder="1" applyAlignment="1">
      <alignment horizontal="right" vertical="center"/>
    </xf>
    <xf numFmtId="180" fontId="7" fillId="11" borderId="92" xfId="0" applyNumberFormat="1" applyFont="1" applyFill="1" applyBorder="1" applyAlignment="1">
      <alignment horizontal="right" vertical="center"/>
    </xf>
    <xf numFmtId="41" fontId="7" fillId="11" borderId="91" xfId="0" applyNumberFormat="1" applyFont="1" applyFill="1" applyBorder="1" applyAlignment="1">
      <alignment horizontal="right" vertical="center"/>
    </xf>
    <xf numFmtId="180" fontId="7" fillId="11" borderId="62" xfId="0" applyNumberFormat="1" applyFont="1" applyFill="1" applyBorder="1" applyAlignment="1">
      <alignment horizontal="right" vertical="center"/>
    </xf>
    <xf numFmtId="42" fontId="7" fillId="11" borderId="260" xfId="0" applyNumberFormat="1" applyFont="1" applyFill="1" applyBorder="1" applyAlignment="1">
      <alignment horizontal="right" vertical="center"/>
    </xf>
    <xf numFmtId="42" fontId="7" fillId="11" borderId="259" xfId="0" applyNumberFormat="1" applyFont="1" applyFill="1" applyBorder="1" applyAlignment="1">
      <alignment horizontal="right" vertical="center"/>
    </xf>
    <xf numFmtId="41" fontId="7" fillId="11" borderId="261" xfId="0" applyNumberFormat="1" applyFont="1" applyFill="1" applyBorder="1" applyAlignment="1">
      <alignment horizontal="right" vertical="center"/>
    </xf>
    <xf numFmtId="0" fontId="7" fillId="11" borderId="59" xfId="0" applyFont="1" applyFill="1" applyBorder="1" applyAlignment="1">
      <alignment horizontal="left" vertical="center"/>
    </xf>
    <xf numFmtId="41" fontId="7" fillId="11" borderId="226" xfId="0" applyNumberFormat="1" applyFont="1" applyFill="1" applyBorder="1" applyAlignment="1">
      <alignment horizontal="right" vertical="center"/>
    </xf>
    <xf numFmtId="0" fontId="7" fillId="11" borderId="92" xfId="0" applyFont="1" applyFill="1" applyBorder="1">
      <alignment vertical="center"/>
    </xf>
    <xf numFmtId="41" fontId="7" fillId="11" borderId="28" xfId="0" applyNumberFormat="1" applyFont="1" applyFill="1" applyBorder="1" applyAlignment="1">
      <alignment horizontal="right" vertical="center"/>
    </xf>
    <xf numFmtId="41" fontId="7" fillId="11" borderId="26" xfId="0" applyNumberFormat="1" applyFont="1" applyFill="1" applyBorder="1" applyAlignment="1">
      <alignment horizontal="right" vertical="center"/>
    </xf>
    <xf numFmtId="41" fontId="7" fillId="11" borderId="92" xfId="0" applyNumberFormat="1" applyFont="1" applyFill="1" applyBorder="1" applyAlignment="1">
      <alignment horizontal="right" vertical="center"/>
    </xf>
    <xf numFmtId="3" fontId="7" fillId="11" borderId="16" xfId="0" applyNumberFormat="1" applyFont="1" applyFill="1" applyBorder="1">
      <alignment vertical="center"/>
    </xf>
    <xf numFmtId="0" fontId="7" fillId="2" borderId="173" xfId="0" applyFont="1" applyFill="1" applyBorder="1" applyAlignment="1">
      <alignment horizontal="center" vertical="center"/>
    </xf>
    <xf numFmtId="0" fontId="7" fillId="2" borderId="39" xfId="0" applyFont="1" applyFill="1" applyBorder="1" applyAlignment="1">
      <alignment horizontal="center" vertical="center"/>
    </xf>
    <xf numFmtId="0" fontId="9" fillId="2" borderId="5" xfId="0" applyFont="1" applyFill="1" applyBorder="1" applyAlignment="1">
      <alignment horizontal="left" vertical="center" shrinkToFit="1"/>
    </xf>
    <xf numFmtId="0" fontId="9" fillId="2" borderId="89" xfId="0" applyFont="1" applyFill="1" applyBorder="1" applyAlignment="1">
      <alignment horizontal="left" vertical="center" shrinkToFit="1"/>
    </xf>
    <xf numFmtId="41" fontId="7" fillId="2" borderId="88" xfId="0" applyNumberFormat="1" applyFont="1" applyFill="1" applyBorder="1" applyAlignment="1">
      <alignment horizontal="center" vertical="center"/>
    </xf>
    <xf numFmtId="180" fontId="7" fillId="2" borderId="5" xfId="0" applyNumberFormat="1" applyFont="1" applyFill="1" applyBorder="1" applyAlignment="1">
      <alignment horizontal="right" vertical="center"/>
    </xf>
    <xf numFmtId="180" fontId="7" fillId="2" borderId="89" xfId="0" applyNumberFormat="1" applyFont="1" applyFill="1" applyBorder="1" applyAlignment="1">
      <alignment horizontal="right" vertical="center"/>
    </xf>
    <xf numFmtId="41" fontId="7" fillId="2" borderId="88" xfId="0" applyNumberFormat="1" applyFont="1" applyFill="1" applyBorder="1" applyAlignment="1">
      <alignment horizontal="right" vertical="center"/>
    </xf>
    <xf numFmtId="0" fontId="9" fillId="2" borderId="6" xfId="0" applyFont="1" applyFill="1" applyBorder="1" applyAlignment="1">
      <alignment horizontal="left" vertical="center" shrinkToFit="1"/>
    </xf>
    <xf numFmtId="0" fontId="9" fillId="2" borderId="172" xfId="0" applyFont="1" applyFill="1" applyBorder="1" applyAlignment="1">
      <alignment horizontal="left" vertical="center" shrinkToFit="1"/>
    </xf>
    <xf numFmtId="41" fontId="7" fillId="2" borderId="225" xfId="0" applyNumberFormat="1" applyFont="1" applyFill="1" applyBorder="1" applyAlignment="1">
      <alignment horizontal="center" vertical="center"/>
    </xf>
    <xf numFmtId="180" fontId="7" fillId="2" borderId="10" xfId="0" applyNumberFormat="1" applyFont="1" applyFill="1" applyBorder="1" applyAlignment="1">
      <alignment horizontal="right" vertical="center"/>
    </xf>
    <xf numFmtId="180" fontId="7" fillId="2" borderId="74" xfId="0" applyNumberFormat="1" applyFont="1" applyFill="1" applyBorder="1" applyAlignment="1">
      <alignment horizontal="right" vertical="center"/>
    </xf>
    <xf numFmtId="41" fontId="7" fillId="2" borderId="87" xfId="0" applyNumberFormat="1" applyFont="1" applyFill="1" applyBorder="1" applyAlignment="1">
      <alignment horizontal="right" vertical="center"/>
    </xf>
    <xf numFmtId="0" fontId="9" fillId="2" borderId="174" xfId="0" applyFont="1" applyFill="1" applyBorder="1" applyAlignment="1">
      <alignment horizontal="left" vertical="center" shrinkToFit="1"/>
    </xf>
    <xf numFmtId="0" fontId="9" fillId="2" borderId="86" xfId="0" applyFont="1" applyFill="1" applyBorder="1" applyAlignment="1">
      <alignment horizontal="left" vertical="center" shrinkToFit="1"/>
    </xf>
    <xf numFmtId="41" fontId="7" fillId="2" borderId="85" xfId="0" applyNumberFormat="1" applyFont="1" applyFill="1" applyBorder="1" applyAlignment="1">
      <alignment horizontal="center" vertical="center"/>
    </xf>
    <xf numFmtId="180" fontId="7" fillId="2" borderId="26" xfId="0" applyNumberFormat="1" applyFont="1" applyFill="1" applyBorder="1" applyAlignment="1">
      <alignment horizontal="right" vertical="center"/>
    </xf>
    <xf numFmtId="180" fontId="7" fillId="2" borderId="92" xfId="0" applyNumberFormat="1" applyFont="1" applyFill="1" applyBorder="1" applyAlignment="1">
      <alignment horizontal="right" vertical="center"/>
    </xf>
    <xf numFmtId="41" fontId="7" fillId="2" borderId="91" xfId="0" applyNumberFormat="1" applyFont="1" applyFill="1" applyBorder="1" applyAlignment="1">
      <alignment horizontal="right" vertical="center"/>
    </xf>
    <xf numFmtId="0" fontId="9" fillId="2" borderId="86" xfId="0" applyFont="1" applyFill="1" applyBorder="1" applyAlignment="1">
      <alignment horizontal="left" vertical="center"/>
    </xf>
    <xf numFmtId="0" fontId="7" fillId="2" borderId="6" xfId="0" applyFont="1" applyFill="1" applyBorder="1" applyAlignment="1">
      <alignment horizontal="left" vertical="center"/>
    </xf>
    <xf numFmtId="0" fontId="9" fillId="2" borderId="172" xfId="0" applyFont="1" applyFill="1" applyBorder="1" applyAlignment="1">
      <alignment horizontal="left" vertical="center"/>
    </xf>
    <xf numFmtId="42" fontId="7" fillId="2" borderId="260" xfId="0" applyNumberFormat="1" applyFont="1" applyFill="1" applyBorder="1" applyAlignment="1">
      <alignment horizontal="right" vertical="center"/>
    </xf>
    <xf numFmtId="42" fontId="7" fillId="2" borderId="259" xfId="0" applyNumberFormat="1" applyFont="1" applyFill="1" applyBorder="1" applyAlignment="1">
      <alignment horizontal="right" vertical="center"/>
    </xf>
    <xf numFmtId="41" fontId="7" fillId="2" borderId="261" xfId="0" applyNumberFormat="1" applyFont="1" applyFill="1" applyBorder="1" applyAlignment="1">
      <alignment horizontal="right" vertical="center"/>
    </xf>
    <xf numFmtId="41" fontId="7" fillId="2" borderId="178" xfId="0" applyNumberFormat="1" applyFont="1" applyFill="1" applyBorder="1" applyAlignment="1">
      <alignment horizontal="right" vertical="center"/>
    </xf>
    <xf numFmtId="41" fontId="7" fillId="2" borderId="221" xfId="0" applyNumberFormat="1" applyFont="1" applyFill="1" applyBorder="1" applyAlignment="1">
      <alignment horizontal="right" vertical="center"/>
    </xf>
    <xf numFmtId="41" fontId="7" fillId="2" borderId="223" xfId="0" applyNumberFormat="1" applyFont="1" applyFill="1" applyBorder="1" applyAlignment="1">
      <alignment horizontal="right" vertical="center"/>
    </xf>
    <xf numFmtId="41" fontId="7" fillId="2" borderId="226" xfId="0" applyNumberFormat="1" applyFont="1" applyFill="1" applyBorder="1" applyAlignment="1">
      <alignment horizontal="right" vertical="center"/>
    </xf>
    <xf numFmtId="0" fontId="7" fillId="2" borderId="7"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6" fillId="2" borderId="0" xfId="0" applyFont="1" applyFill="1" applyAlignment="1">
      <alignment horizontal="center" vertical="center" wrapText="1"/>
    </xf>
    <xf numFmtId="0" fontId="7" fillId="2" borderId="75"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76" xfId="0" applyFont="1" applyFill="1" applyBorder="1" applyAlignment="1" applyProtection="1">
      <alignment horizontal="center" vertical="center" shrinkToFit="1"/>
      <protection locked="0"/>
    </xf>
    <xf numFmtId="0" fontId="7" fillId="2" borderId="18" xfId="0" applyFont="1" applyFill="1" applyBorder="1" applyAlignment="1" applyProtection="1">
      <alignment horizontal="center" vertical="center" shrinkToFit="1"/>
      <protection locked="0"/>
    </xf>
    <xf numFmtId="0" fontId="7" fillId="2" borderId="77" xfId="0" applyFont="1" applyFill="1" applyBorder="1" applyAlignment="1" applyProtection="1">
      <alignment horizontal="center" vertical="center" shrinkToFit="1"/>
      <protection locked="0"/>
    </xf>
    <xf numFmtId="0" fontId="7" fillId="2" borderId="6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shrinkToFit="1"/>
      <protection locked="0"/>
    </xf>
    <xf numFmtId="0" fontId="7" fillId="2" borderId="332" xfId="0" applyFont="1" applyFill="1" applyBorder="1" applyAlignment="1" applyProtection="1">
      <alignment horizontal="center" vertical="center" shrinkToFit="1"/>
      <protection locked="0"/>
    </xf>
    <xf numFmtId="0" fontId="7" fillId="2" borderId="20"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shrinkToFit="1"/>
      <protection locked="0"/>
    </xf>
    <xf numFmtId="0" fontId="7" fillId="2" borderId="9" xfId="0" applyFont="1" applyFill="1" applyBorder="1" applyAlignment="1" applyProtection="1">
      <alignment horizontal="center" vertical="center" shrinkToFit="1"/>
      <protection locked="0"/>
    </xf>
    <xf numFmtId="0" fontId="7" fillId="2" borderId="0" xfId="0" applyFont="1" applyFill="1" applyAlignment="1" applyProtection="1">
      <alignment horizontal="distributed" vertical="center" indent="1" shrinkToFit="1"/>
      <protection locked="0"/>
    </xf>
    <xf numFmtId="0" fontId="7" fillId="2" borderId="10"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left" vertical="center" shrinkToFit="1"/>
      <protection locked="0"/>
    </xf>
    <xf numFmtId="0" fontId="7" fillId="2" borderId="12" xfId="0" applyFont="1" applyFill="1" applyBorder="1" applyAlignment="1" applyProtection="1">
      <alignment horizontal="left" vertical="center" shrinkToFit="1"/>
      <protection locked="0"/>
    </xf>
    <xf numFmtId="0" fontId="7" fillId="2" borderId="11" xfId="0" applyFont="1" applyFill="1" applyBorder="1" applyAlignment="1" applyProtection="1">
      <alignment horizontal="left" vertical="center"/>
      <protection locked="0"/>
    </xf>
    <xf numFmtId="0" fontId="7" fillId="2" borderId="30" xfId="0" applyFont="1" applyFill="1" applyBorder="1" applyAlignment="1" applyProtection="1">
      <alignment horizontal="left" vertical="center"/>
      <protection locked="0"/>
    </xf>
    <xf numFmtId="0" fontId="7" fillId="2" borderId="65" xfId="0" applyFont="1" applyFill="1" applyBorder="1" applyAlignment="1" applyProtection="1">
      <alignment horizontal="center" vertical="center"/>
      <protection locked="0"/>
    </xf>
    <xf numFmtId="0" fontId="7" fillId="2" borderId="0" xfId="0" applyFont="1" applyFill="1" applyAlignment="1" applyProtection="1">
      <alignment horizontal="left" vertical="center"/>
      <protection locked="0"/>
    </xf>
    <xf numFmtId="0" fontId="7" fillId="2" borderId="0" xfId="0" applyFont="1" applyFill="1" applyAlignment="1" applyProtection="1">
      <alignment horizontal="left" vertical="center" shrinkToFit="1"/>
      <protection locked="0"/>
    </xf>
    <xf numFmtId="0" fontId="7" fillId="2" borderId="9" xfId="0" applyFont="1" applyFill="1" applyBorder="1" applyAlignment="1" applyProtection="1">
      <alignment horizontal="left" vertical="center" shrinkToFit="1"/>
      <protection locked="0"/>
    </xf>
    <xf numFmtId="0" fontId="7" fillId="2" borderId="20" xfId="0" applyFont="1" applyFill="1" applyBorder="1" applyAlignment="1" applyProtection="1">
      <alignment horizontal="left" vertical="center"/>
      <protection locked="0"/>
    </xf>
    <xf numFmtId="0" fontId="7" fillId="2" borderId="6"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7"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7" fillId="2" borderId="41"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shrinkToFit="1"/>
      <protection locked="0"/>
    </xf>
    <xf numFmtId="0" fontId="7" fillId="2" borderId="27" xfId="0" applyFont="1" applyFill="1" applyBorder="1" applyAlignment="1" applyProtection="1">
      <alignment horizontal="center" vertical="center" shrinkToFit="1"/>
      <protection locked="0"/>
    </xf>
    <xf numFmtId="0" fontId="7" fillId="2" borderId="27" xfId="0" applyFont="1" applyFill="1" applyBorder="1" applyAlignment="1" applyProtection="1">
      <alignment horizontal="left" vertical="center" shrinkToFit="1"/>
      <protection locked="0"/>
    </xf>
    <xf numFmtId="0" fontId="7" fillId="2" borderId="33" xfId="0" applyFont="1" applyFill="1" applyBorder="1" applyAlignment="1" applyProtection="1">
      <alignment horizontal="left" vertical="center" shrinkToFit="1"/>
      <protection locked="0"/>
    </xf>
    <xf numFmtId="0" fontId="7" fillId="2" borderId="26"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2" borderId="27" xfId="0" applyFont="1" applyFill="1" applyBorder="1" applyAlignment="1" applyProtection="1">
      <alignment horizontal="left" vertical="center"/>
      <protection locked="0"/>
    </xf>
    <xf numFmtId="0" fontId="7" fillId="2" borderId="32" xfId="0" applyFont="1" applyFill="1" applyBorder="1" applyAlignment="1" applyProtection="1">
      <alignment horizontal="left" vertical="center"/>
      <protection locked="0"/>
    </xf>
    <xf numFmtId="0" fontId="7" fillId="2" borderId="62" xfId="0" applyFont="1" applyFill="1" applyBorder="1" applyAlignment="1" applyProtection="1">
      <alignment horizontal="center" vertical="center"/>
      <protection locked="0"/>
    </xf>
    <xf numFmtId="0" fontId="7" fillId="2" borderId="0" xfId="0" applyFont="1" applyFill="1" applyAlignment="1">
      <alignment horizontal="left" vertical="top"/>
    </xf>
    <xf numFmtId="179" fontId="7" fillId="2" borderId="4" xfId="0" applyNumberFormat="1" applyFont="1" applyFill="1" applyBorder="1" applyAlignment="1">
      <alignment horizontal="center" vertical="center"/>
    </xf>
    <xf numFmtId="14" fontId="7" fillId="2" borderId="0" xfId="0" applyNumberFormat="1" applyFont="1" applyFill="1" applyAlignment="1" applyProtection="1">
      <alignment vertical="center" shrinkToFit="1"/>
      <protection locked="0"/>
    </xf>
    <xf numFmtId="0" fontId="7" fillId="2" borderId="0" xfId="0" applyFont="1" applyFill="1" applyProtection="1">
      <alignment vertical="center"/>
      <protection locked="0"/>
    </xf>
    <xf numFmtId="0" fontId="7" fillId="2" borderId="9" xfId="0" applyFont="1" applyFill="1" applyBorder="1" applyProtection="1">
      <alignment vertical="center"/>
      <protection locked="0"/>
    </xf>
    <xf numFmtId="0" fontId="7" fillId="3" borderId="333" xfId="0" applyFont="1" applyFill="1" applyBorder="1" applyAlignment="1" applyProtection="1">
      <alignment horizontal="center" vertical="center"/>
      <protection locked="0"/>
    </xf>
    <xf numFmtId="0" fontId="7" fillId="2" borderId="11" xfId="0" applyFont="1" applyFill="1" applyBorder="1" applyAlignment="1">
      <alignment vertical="top" wrapText="1"/>
    </xf>
    <xf numFmtId="0" fontId="7" fillId="2" borderId="1" xfId="0" applyFont="1" applyFill="1" applyBorder="1">
      <alignment vertical="center"/>
    </xf>
    <xf numFmtId="183" fontId="7" fillId="2" borderId="11" xfId="0" applyNumberFormat="1" applyFont="1" applyFill="1" applyBorder="1" applyAlignment="1">
      <alignment vertical="top" wrapText="1"/>
    </xf>
    <xf numFmtId="179" fontId="7" fillId="2" borderId="2" xfId="0" applyNumberFormat="1" applyFont="1" applyFill="1" applyBorder="1">
      <alignment vertical="center"/>
    </xf>
    <xf numFmtId="180" fontId="7" fillId="2" borderId="335" xfId="0" applyNumberFormat="1" applyFont="1" applyFill="1" applyBorder="1" applyAlignment="1">
      <alignment horizontal="right" vertical="center"/>
    </xf>
    <xf numFmtId="0" fontId="9" fillId="2" borderId="336" xfId="0" applyFont="1" applyFill="1" applyBorder="1" applyAlignment="1">
      <alignment horizontal="left" vertical="center" shrinkToFit="1"/>
    </xf>
    <xf numFmtId="0" fontId="9" fillId="2" borderId="67" xfId="0" applyFont="1" applyFill="1" applyBorder="1" applyAlignment="1">
      <alignment horizontal="left" vertical="center" shrinkToFit="1"/>
    </xf>
    <xf numFmtId="180" fontId="7" fillId="2" borderId="24" xfId="0" applyNumberFormat="1" applyFont="1" applyFill="1" applyBorder="1" applyAlignment="1">
      <alignment horizontal="right" vertical="center"/>
    </xf>
    <xf numFmtId="0" fontId="7" fillId="2" borderId="174" xfId="0" applyFont="1" applyFill="1" applyBorder="1" applyAlignment="1">
      <alignment horizontal="center" vertical="center"/>
    </xf>
    <xf numFmtId="0" fontId="7" fillId="2" borderId="37" xfId="0" applyFont="1" applyFill="1" applyBorder="1" applyAlignment="1">
      <alignment horizontal="center" vertical="center"/>
    </xf>
    <xf numFmtId="0" fontId="7" fillId="11" borderId="86" xfId="0" applyFont="1" applyFill="1" applyBorder="1" applyAlignment="1">
      <alignment horizontal="center" vertical="center"/>
    </xf>
    <xf numFmtId="0" fontId="7" fillId="2" borderId="174" xfId="0" applyFont="1" applyFill="1" applyBorder="1" applyAlignment="1">
      <alignment horizontal="left" vertical="center"/>
    </xf>
    <xf numFmtId="0" fontId="7" fillId="11" borderId="237" xfId="0" applyFont="1" applyFill="1" applyBorder="1" applyAlignment="1" applyProtection="1">
      <alignment horizontal="center" vertical="center"/>
      <protection locked="0"/>
    </xf>
    <xf numFmtId="0" fontId="7" fillId="2" borderId="56" xfId="0" applyFont="1" applyFill="1" applyBorder="1" applyAlignment="1">
      <alignment horizontal="center" vertical="center"/>
    </xf>
    <xf numFmtId="183" fontId="7" fillId="2" borderId="1" xfId="0" applyNumberFormat="1" applyFont="1" applyFill="1" applyBorder="1" applyAlignment="1" applyProtection="1">
      <alignment horizontal="center" vertical="center"/>
      <protection locked="0"/>
    </xf>
    <xf numFmtId="0" fontId="7" fillId="0" borderId="62" xfId="0" applyFont="1" applyBorder="1" applyAlignment="1">
      <alignment horizontal="center" vertical="center"/>
    </xf>
    <xf numFmtId="0" fontId="7" fillId="0" borderId="334" xfId="0" applyFont="1" applyBorder="1" applyAlignment="1">
      <alignment horizontal="center" vertical="center"/>
    </xf>
    <xf numFmtId="3" fontId="7" fillId="2" borderId="0" xfId="0" applyNumberFormat="1" applyFont="1" applyFill="1" applyAlignment="1">
      <alignment horizontal="right" vertical="center"/>
    </xf>
    <xf numFmtId="41" fontId="7" fillId="2" borderId="0" xfId="0" applyNumberFormat="1" applyFont="1" applyFill="1" applyAlignment="1">
      <alignment horizontal="right" vertical="center"/>
    </xf>
    <xf numFmtId="0" fontId="7" fillId="2" borderId="0" xfId="3" applyFont="1" applyFill="1">
      <alignment vertical="center"/>
    </xf>
    <xf numFmtId="0" fontId="8" fillId="2" borderId="0" xfId="3" applyFont="1" applyFill="1">
      <alignment vertical="center"/>
    </xf>
    <xf numFmtId="0" fontId="7" fillId="2" borderId="0" xfId="3" applyFont="1" applyFill="1" applyAlignment="1">
      <alignment vertical="top" wrapText="1"/>
    </xf>
    <xf numFmtId="0" fontId="7" fillId="2" borderId="38" xfId="3" applyFont="1" applyFill="1" applyBorder="1">
      <alignment vertical="center"/>
    </xf>
    <xf numFmtId="0" fontId="7" fillId="2" borderId="0" xfId="3" applyFont="1" applyFill="1" applyAlignment="1">
      <alignment vertical="top"/>
    </xf>
    <xf numFmtId="0" fontId="7" fillId="2" borderId="0" xfId="3" applyFont="1" applyFill="1" applyAlignment="1">
      <alignment horizontal="left" vertical="top"/>
    </xf>
    <xf numFmtId="0" fontId="7" fillId="2" borderId="0" xfId="0" applyFont="1" applyFill="1" applyAlignment="1">
      <alignment vertical="top" wrapText="1"/>
    </xf>
    <xf numFmtId="0" fontId="15" fillId="2" borderId="0" xfId="3" applyFont="1" applyFill="1" applyAlignment="1">
      <alignment horizontal="left" vertical="center"/>
    </xf>
    <xf numFmtId="0" fontId="7" fillId="2" borderId="0" xfId="3" applyFont="1" applyFill="1" applyAlignment="1">
      <alignment horizontal="center" vertical="center"/>
    </xf>
    <xf numFmtId="0" fontId="8" fillId="2" borderId="0" xfId="3" applyFont="1" applyFill="1" applyAlignment="1">
      <alignment horizontal="center" vertical="center"/>
    </xf>
    <xf numFmtId="0" fontId="7" fillId="2" borderId="0" xfId="3" applyFont="1" applyFill="1" applyAlignment="1">
      <alignment horizontal="left" vertical="center"/>
    </xf>
    <xf numFmtId="0" fontId="7" fillId="2" borderId="0" xfId="0" applyFont="1" applyFill="1" applyAlignment="1">
      <alignment horizontal="left" vertical="center"/>
    </xf>
    <xf numFmtId="0" fontId="7" fillId="11" borderId="0" xfId="3" applyFont="1" applyFill="1">
      <alignment vertical="center"/>
    </xf>
    <xf numFmtId="0" fontId="8" fillId="2" borderId="0" xfId="3" applyFont="1" applyFill="1" applyAlignment="1"/>
    <xf numFmtId="0" fontId="8" fillId="2" borderId="0" xfId="3" applyFont="1" applyFill="1" applyAlignment="1">
      <alignment horizontal="center"/>
    </xf>
    <xf numFmtId="0" fontId="7" fillId="2" borderId="0" xfId="3" applyFont="1" applyFill="1" applyAlignment="1"/>
    <xf numFmtId="0" fontId="22" fillId="2" borderId="0" xfId="3" applyFont="1" applyFill="1">
      <alignment vertical="center"/>
    </xf>
    <xf numFmtId="0" fontId="8" fillId="2" borderId="0" xfId="3" applyFont="1" applyFill="1" applyAlignment="1">
      <alignment horizontal="right"/>
    </xf>
    <xf numFmtId="0" fontId="8" fillId="11" borderId="0" xfId="3" applyFont="1" applyFill="1">
      <alignment vertical="center"/>
    </xf>
    <xf numFmtId="0" fontId="9" fillId="2" borderId="19" xfId="0" applyFont="1" applyFill="1" applyBorder="1" applyAlignment="1">
      <alignment vertical="top" wrapText="1"/>
    </xf>
    <xf numFmtId="0" fontId="7" fillId="11" borderId="0" xfId="0" applyFont="1" applyFill="1" applyAlignment="1" applyProtection="1">
      <alignment horizontal="center" vertical="center"/>
      <protection locked="0"/>
    </xf>
    <xf numFmtId="179" fontId="7" fillId="2" borderId="0" xfId="0" applyNumberFormat="1" applyFont="1" applyFill="1" applyAlignment="1">
      <alignment horizontal="center" vertical="center"/>
    </xf>
    <xf numFmtId="183" fontId="7" fillId="10" borderId="11" xfId="0" applyNumberFormat="1" applyFont="1" applyFill="1" applyBorder="1" applyAlignment="1">
      <alignment vertical="top" wrapText="1"/>
    </xf>
    <xf numFmtId="179" fontId="7" fillId="2" borderId="0" xfId="3" applyNumberFormat="1" applyFont="1" applyFill="1">
      <alignment vertical="center"/>
    </xf>
    <xf numFmtId="179" fontId="7" fillId="2" borderId="20" xfId="3" applyNumberFormat="1" applyFont="1" applyFill="1" applyBorder="1">
      <alignment vertical="center"/>
    </xf>
    <xf numFmtId="179" fontId="7" fillId="2" borderId="26" xfId="3" applyNumberFormat="1" applyFont="1" applyFill="1" applyBorder="1">
      <alignment vertical="center"/>
    </xf>
    <xf numFmtId="179" fontId="7" fillId="2" borderId="27" xfId="3" applyNumberFormat="1" applyFont="1" applyFill="1" applyBorder="1">
      <alignment vertical="center"/>
    </xf>
    <xf numFmtId="179" fontId="7" fillId="2" borderId="32" xfId="3" applyNumberFormat="1" applyFont="1" applyFill="1" applyBorder="1">
      <alignment vertical="center"/>
    </xf>
    <xf numFmtId="0" fontId="7" fillId="2" borderId="0" xfId="3" applyFont="1" applyFill="1" applyAlignment="1">
      <alignment horizontal="distributed" vertical="center"/>
    </xf>
    <xf numFmtId="0" fontId="7" fillId="10" borderId="0" xfId="3" applyFont="1" applyFill="1" applyAlignment="1">
      <alignment horizontal="left" vertical="center"/>
    </xf>
    <xf numFmtId="0" fontId="10" fillId="2" borderId="0" xfId="0" applyFont="1" applyFill="1" applyAlignment="1">
      <alignment horizontal="center" vertical="center"/>
    </xf>
    <xf numFmtId="179" fontId="7" fillId="2" borderId="5" xfId="3" applyNumberFormat="1" applyFont="1" applyFill="1" applyBorder="1">
      <alignment vertical="center"/>
    </xf>
    <xf numFmtId="0" fontId="7" fillId="11" borderId="1" xfId="0" applyFont="1" applyFill="1" applyBorder="1">
      <alignment vertical="center"/>
    </xf>
    <xf numFmtId="179" fontId="7" fillId="11" borderId="1" xfId="0" applyNumberFormat="1" applyFont="1" applyFill="1" applyBorder="1">
      <alignment vertical="center"/>
    </xf>
    <xf numFmtId="179" fontId="7" fillId="2" borderId="1" xfId="0" applyNumberFormat="1" applyFont="1" applyFill="1" applyBorder="1" applyAlignment="1">
      <alignment horizontal="center" vertical="center"/>
    </xf>
    <xf numFmtId="0" fontId="5" fillId="2" borderId="27" xfId="0" applyFont="1" applyFill="1" applyBorder="1">
      <alignment vertical="center"/>
    </xf>
    <xf numFmtId="0" fontId="16" fillId="2" borderId="0" xfId="0" applyFont="1" applyFill="1">
      <alignment vertical="center"/>
    </xf>
    <xf numFmtId="0" fontId="16" fillId="2" borderId="0" xfId="0" applyFont="1" applyFill="1" applyAlignment="1">
      <alignment horizontal="right" vertical="center"/>
    </xf>
    <xf numFmtId="0" fontId="14" fillId="0" borderId="0" xfId="0" applyFont="1">
      <alignment vertical="center"/>
    </xf>
    <xf numFmtId="182" fontId="7" fillId="0" borderId="0" xfId="0" applyNumberFormat="1" applyFont="1">
      <alignment vertical="center"/>
    </xf>
    <xf numFmtId="14" fontId="7" fillId="0" borderId="0" xfId="0" applyNumberFormat="1" applyFont="1">
      <alignment vertical="center"/>
    </xf>
    <xf numFmtId="0" fontId="7" fillId="0" borderId="0" xfId="0" applyFont="1">
      <alignment vertical="center"/>
    </xf>
    <xf numFmtId="182" fontId="7" fillId="0" borderId="0" xfId="0" applyNumberFormat="1" applyFont="1" applyAlignment="1">
      <alignment horizontal="center" vertical="top" wrapText="1"/>
    </xf>
    <xf numFmtId="0" fontId="7" fillId="0" borderId="0" xfId="0" applyFont="1" applyAlignment="1">
      <alignment horizontal="center" vertical="top" wrapText="1"/>
    </xf>
    <xf numFmtId="0" fontId="7" fillId="0" borderId="0" xfId="0" applyFont="1" applyAlignment="1">
      <alignment horizontal="left" vertical="top"/>
    </xf>
    <xf numFmtId="0" fontId="7" fillId="0" borderId="0" xfId="0" applyFont="1" applyAlignment="1">
      <alignment vertical="top" wrapText="1"/>
    </xf>
    <xf numFmtId="0" fontId="7" fillId="10" borderId="0" xfId="0" applyFont="1" applyFill="1" applyAlignment="1">
      <alignment horizontal="center" vertical="center"/>
    </xf>
    <xf numFmtId="182" fontId="7" fillId="10" borderId="0" xfId="0" applyNumberFormat="1" applyFont="1" applyFill="1">
      <alignment vertical="center"/>
    </xf>
    <xf numFmtId="0" fontId="7" fillId="10" borderId="0" xfId="0" applyFont="1" applyFill="1">
      <alignment vertical="center"/>
    </xf>
    <xf numFmtId="179" fontId="7" fillId="10" borderId="0" xfId="0" applyNumberFormat="1" applyFont="1" applyFill="1">
      <alignment vertical="center"/>
    </xf>
    <xf numFmtId="41" fontId="7" fillId="10" borderId="0" xfId="4" applyNumberFormat="1" applyFont="1" applyFill="1">
      <alignment vertical="center"/>
    </xf>
    <xf numFmtId="3" fontId="7" fillId="10" borderId="0" xfId="0" applyNumberFormat="1" applyFont="1" applyFill="1">
      <alignment vertical="center"/>
    </xf>
    <xf numFmtId="41" fontId="7" fillId="10" borderId="0" xfId="0" applyNumberFormat="1" applyFont="1" applyFill="1">
      <alignment vertical="center"/>
    </xf>
    <xf numFmtId="14" fontId="7" fillId="10" borderId="0" xfId="0" applyNumberFormat="1" applyFont="1" applyFill="1">
      <alignment vertical="center"/>
    </xf>
    <xf numFmtId="0" fontId="7" fillId="12" borderId="0" xfId="0" applyFont="1" applyFill="1" applyAlignment="1">
      <alignment horizontal="center" vertical="center"/>
    </xf>
    <xf numFmtId="182" fontId="7" fillId="12" borderId="0" xfId="0" applyNumberFormat="1" applyFont="1" applyFill="1">
      <alignment vertical="center"/>
    </xf>
    <xf numFmtId="0" fontId="7" fillId="12" borderId="0" xfId="0" applyFont="1" applyFill="1">
      <alignment vertical="center"/>
    </xf>
    <xf numFmtId="179" fontId="7" fillId="12" borderId="0" xfId="0" applyNumberFormat="1" applyFont="1" applyFill="1">
      <alignment vertical="center"/>
    </xf>
    <xf numFmtId="41" fontId="7" fillId="12" borderId="0" xfId="4" applyNumberFormat="1" applyFont="1" applyFill="1">
      <alignment vertical="center"/>
    </xf>
    <xf numFmtId="3" fontId="7" fillId="12" borderId="0" xfId="0" applyNumberFormat="1" applyFont="1" applyFill="1">
      <alignment vertical="center"/>
    </xf>
    <xf numFmtId="41" fontId="7" fillId="12" borderId="0" xfId="0" applyNumberFormat="1" applyFont="1" applyFill="1">
      <alignment vertical="center"/>
    </xf>
    <xf numFmtId="14" fontId="7" fillId="12" borderId="0" xfId="0" applyNumberFormat="1" applyFont="1" applyFill="1">
      <alignment vertical="center"/>
    </xf>
    <xf numFmtId="179" fontId="7" fillId="0" borderId="0" xfId="0" applyNumberFormat="1" applyFont="1">
      <alignment vertical="center"/>
    </xf>
    <xf numFmtId="181" fontId="7" fillId="0" borderId="0" xfId="0" applyNumberFormat="1" applyFont="1">
      <alignment vertical="center"/>
    </xf>
    <xf numFmtId="41" fontId="7" fillId="0" borderId="0" xfId="0" applyNumberFormat="1" applyFont="1">
      <alignment vertical="center"/>
    </xf>
    <xf numFmtId="0" fontId="7" fillId="13" borderId="0" xfId="0" applyFont="1" applyFill="1">
      <alignment vertical="center"/>
    </xf>
    <xf numFmtId="182" fontId="7" fillId="13" borderId="0" xfId="0" applyNumberFormat="1" applyFont="1" applyFill="1">
      <alignment vertical="center"/>
    </xf>
    <xf numFmtId="0" fontId="14" fillId="0" borderId="0" xfId="0" applyFont="1" applyAlignment="1">
      <alignment vertical="top"/>
    </xf>
    <xf numFmtId="0" fontId="7" fillId="8" borderId="1" xfId="0" applyFont="1" applyFill="1" applyBorder="1">
      <alignment vertical="center"/>
    </xf>
    <xf numFmtId="0" fontId="7" fillId="0" borderId="0" xfId="0" applyFont="1" applyAlignment="1">
      <alignment horizontal="left" vertical="center"/>
    </xf>
    <xf numFmtId="179" fontId="7" fillId="8" borderId="0" xfId="0" applyNumberFormat="1" applyFont="1" applyFill="1" applyAlignment="1">
      <alignment horizontal="left" vertical="center"/>
    </xf>
    <xf numFmtId="0" fontId="7" fillId="8" borderId="0" xfId="0" applyFont="1" applyFill="1" applyAlignment="1">
      <alignment horizontal="center" vertical="center"/>
    </xf>
    <xf numFmtId="0" fontId="7" fillId="8" borderId="0" xfId="0" applyFont="1" applyFill="1">
      <alignment vertical="center"/>
    </xf>
    <xf numFmtId="0" fontId="7" fillId="0" borderId="0" xfId="0" applyFont="1" applyAlignment="1">
      <alignment horizontal="right" vertical="center"/>
    </xf>
    <xf numFmtId="0" fontId="7" fillId="9" borderId="1" xfId="0" applyFont="1" applyFill="1" applyBorder="1">
      <alignment vertical="center"/>
    </xf>
    <xf numFmtId="0" fontId="7" fillId="8" borderId="0" xfId="0" applyFont="1" applyFill="1" applyAlignment="1">
      <alignment horizontal="left" vertical="center"/>
    </xf>
    <xf numFmtId="185" fontId="0" fillId="0" borderId="0" xfId="0" applyNumberFormat="1">
      <alignment vertical="center"/>
    </xf>
    <xf numFmtId="181" fontId="0" fillId="0" borderId="0" xfId="0" applyNumberFormat="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15" fillId="0" borderId="0" xfId="0" applyFont="1">
      <alignment vertical="center"/>
    </xf>
    <xf numFmtId="0" fontId="7" fillId="0" borderId="6" xfId="0" applyFont="1" applyBorder="1" applyAlignment="1">
      <alignment horizontal="center" vertical="center"/>
    </xf>
    <xf numFmtId="0" fontId="18" fillId="0" borderId="0" xfId="0" applyFont="1">
      <alignment vertical="center"/>
    </xf>
    <xf numFmtId="0" fontId="18" fillId="0" borderId="0" xfId="0" applyFont="1" applyAlignment="1">
      <alignment horizontal="center" vertical="center"/>
    </xf>
    <xf numFmtId="41" fontId="18" fillId="0" borderId="0" xfId="0" applyNumberFormat="1" applyFont="1" applyAlignment="1">
      <alignment horizontal="right" vertical="center"/>
    </xf>
    <xf numFmtId="186" fontId="7" fillId="8" borderId="0" xfId="0" applyNumberFormat="1" applyFont="1" applyFill="1" applyAlignment="1">
      <alignment horizontal="left" vertical="center"/>
    </xf>
    <xf numFmtId="186" fontId="7" fillId="10" borderId="0" xfId="0" applyNumberFormat="1" applyFont="1" applyFill="1">
      <alignment vertical="center"/>
    </xf>
    <xf numFmtId="186" fontId="7" fillId="12" borderId="0" xfId="0" applyNumberFormat="1" applyFont="1" applyFill="1">
      <alignment vertical="center"/>
    </xf>
    <xf numFmtId="186" fontId="7" fillId="0" borderId="0" xfId="0" applyNumberFormat="1" applyFont="1">
      <alignment vertical="center"/>
    </xf>
    <xf numFmtId="187" fontId="7" fillId="2" borderId="0" xfId="0" applyNumberFormat="1" applyFont="1" applyFill="1">
      <alignment vertical="center"/>
    </xf>
    <xf numFmtId="187" fontId="15" fillId="2" borderId="0" xfId="0" applyNumberFormat="1" applyFont="1" applyFill="1">
      <alignment vertical="center"/>
    </xf>
    <xf numFmtId="187" fontId="7" fillId="11" borderId="1" xfId="0" applyNumberFormat="1" applyFont="1" applyFill="1" applyBorder="1">
      <alignment vertical="center"/>
    </xf>
    <xf numFmtId="14" fontId="7" fillId="2" borderId="1" xfId="0" applyNumberFormat="1" applyFont="1" applyFill="1" applyBorder="1" applyAlignment="1">
      <alignment horizontal="center" vertical="center"/>
    </xf>
    <xf numFmtId="14" fontId="0" fillId="0" borderId="0" xfId="0" applyNumberFormat="1">
      <alignment vertical="center"/>
    </xf>
    <xf numFmtId="185" fontId="0" fillId="14" borderId="0" xfId="0" applyNumberFormat="1" applyFill="1">
      <alignment vertical="center"/>
    </xf>
    <xf numFmtId="181" fontId="0" fillId="14" borderId="0" xfId="0" applyNumberFormat="1" applyFill="1" applyAlignment="1">
      <alignment horizontal="left" vertical="center"/>
    </xf>
    <xf numFmtId="181" fontId="0" fillId="14" borderId="0" xfId="0" applyNumberFormat="1" applyFill="1">
      <alignment vertical="center"/>
    </xf>
    <xf numFmtId="14" fontId="0" fillId="10" borderId="0" xfId="0" applyNumberFormat="1" applyFill="1">
      <alignment vertical="center"/>
    </xf>
    <xf numFmtId="0" fontId="0" fillId="10" borderId="0" xfId="0" applyFill="1">
      <alignment vertical="center"/>
    </xf>
    <xf numFmtId="14" fontId="0" fillId="15" borderId="0" xfId="0" applyNumberFormat="1" applyFill="1">
      <alignment vertical="center"/>
    </xf>
    <xf numFmtId="0" fontId="0" fillId="15" borderId="0" xfId="0" applyFill="1">
      <alignment vertical="center"/>
    </xf>
    <xf numFmtId="14" fontId="0" fillId="4" borderId="0" xfId="0" applyNumberFormat="1" applyFill="1">
      <alignment vertical="center"/>
    </xf>
    <xf numFmtId="0" fontId="0" fillId="4" borderId="0" xfId="0" applyFill="1">
      <alignment vertical="center"/>
    </xf>
    <xf numFmtId="14" fontId="0" fillId="3" borderId="0" xfId="0" applyNumberFormat="1" applyFill="1">
      <alignment vertical="center"/>
    </xf>
    <xf numFmtId="0" fontId="0" fillId="3" borderId="0" xfId="0" applyFill="1">
      <alignment vertical="center"/>
    </xf>
    <xf numFmtId="14" fontId="0" fillId="16" borderId="0" xfId="0" applyNumberFormat="1" applyFill="1">
      <alignment vertical="center"/>
    </xf>
    <xf numFmtId="0" fontId="0" fillId="16" borderId="0" xfId="0" applyFill="1">
      <alignment vertical="center"/>
    </xf>
    <xf numFmtId="49" fontId="8" fillId="3" borderId="0" xfId="0" applyNumberFormat="1" applyFont="1" applyFill="1">
      <alignment vertical="center"/>
    </xf>
    <xf numFmtId="0" fontId="8" fillId="3" borderId="0" xfId="0" applyFont="1" applyFill="1">
      <alignment vertical="center"/>
    </xf>
    <xf numFmtId="0" fontId="8" fillId="3" borderId="0" xfId="0" applyFont="1" applyFill="1" applyAlignment="1">
      <alignment horizontal="left" vertical="center"/>
    </xf>
    <xf numFmtId="0" fontId="8" fillId="3" borderId="20" xfId="0" applyFont="1" applyFill="1" applyBorder="1" applyAlignment="1">
      <alignment horizontal="left" vertical="center"/>
    </xf>
    <xf numFmtId="0" fontId="8" fillId="3" borderId="0" xfId="0" applyFont="1" applyFill="1" applyAlignment="1">
      <alignment horizontal="center" vertical="center"/>
    </xf>
    <xf numFmtId="0" fontId="9" fillId="2" borderId="0" xfId="0" applyFont="1" applyFill="1" applyAlignment="1">
      <alignment horizontal="left" vertical="top" wrapText="1"/>
    </xf>
    <xf numFmtId="0" fontId="9" fillId="2" borderId="20" xfId="0" applyFont="1" applyFill="1" applyBorder="1" applyAlignment="1">
      <alignment horizontal="left" vertical="top" wrapText="1"/>
    </xf>
    <xf numFmtId="187" fontId="7" fillId="3" borderId="41" xfId="0" applyNumberFormat="1" applyFont="1" applyFill="1" applyBorder="1" applyAlignment="1" applyProtection="1">
      <alignment horizontal="center" vertical="center" shrinkToFit="1"/>
      <protection locked="0"/>
    </xf>
    <xf numFmtId="187" fontId="7" fillId="3" borderId="7" xfId="0" applyNumberFormat="1" applyFont="1" applyFill="1" applyBorder="1" applyAlignment="1" applyProtection="1">
      <alignment horizontal="center" vertical="center" shrinkToFit="1"/>
      <protection locked="0"/>
    </xf>
    <xf numFmtId="187" fontId="7" fillId="3" borderId="8" xfId="0" applyNumberFormat="1" applyFont="1" applyFill="1" applyBorder="1" applyAlignment="1" applyProtection="1">
      <alignment horizontal="center" vertical="center" shrinkToFit="1"/>
      <protection locked="0"/>
    </xf>
    <xf numFmtId="187" fontId="7" fillId="3" borderId="62" xfId="0" applyNumberFormat="1" applyFont="1" applyFill="1" applyBorder="1" applyAlignment="1" applyProtection="1">
      <alignment horizontal="center" vertical="center" shrinkToFit="1"/>
      <protection locked="0"/>
    </xf>
    <xf numFmtId="187" fontId="7" fillId="3" borderId="27" xfId="0" applyNumberFormat="1" applyFont="1" applyFill="1" applyBorder="1" applyAlignment="1" applyProtection="1">
      <alignment horizontal="center" vertical="center" shrinkToFit="1"/>
      <protection locked="0"/>
    </xf>
    <xf numFmtId="187" fontId="7" fillId="3" borderId="33" xfId="0" applyNumberFormat="1" applyFont="1" applyFill="1" applyBorder="1" applyAlignment="1" applyProtection="1">
      <alignment horizontal="center" vertical="center" shrinkToFit="1"/>
      <protection locked="0"/>
    </xf>
    <xf numFmtId="0" fontId="7" fillId="3" borderId="6" xfId="0" applyFont="1" applyFill="1" applyBorder="1" applyAlignment="1" applyProtection="1">
      <alignment horizontal="center" vertical="center" shrinkToFit="1"/>
      <protection locked="0"/>
    </xf>
    <xf numFmtId="0" fontId="7" fillId="3" borderId="7" xfId="0" applyFont="1" applyFill="1" applyBorder="1" applyAlignment="1" applyProtection="1">
      <alignment horizontal="center" vertical="center" shrinkToFit="1"/>
      <protection locked="0"/>
    </xf>
    <xf numFmtId="0" fontId="7" fillId="3" borderId="8" xfId="0" applyFont="1" applyFill="1" applyBorder="1" applyAlignment="1" applyProtection="1">
      <alignment horizontal="center" vertical="center" shrinkToFit="1"/>
      <protection locked="0"/>
    </xf>
    <xf numFmtId="0" fontId="13" fillId="2" borderId="0" xfId="0" applyFont="1" applyFill="1" applyAlignment="1">
      <alignment horizontal="center" vertical="center"/>
    </xf>
    <xf numFmtId="0" fontId="7" fillId="2" borderId="0" xfId="0" applyFont="1" applyFill="1" applyAlignment="1">
      <alignment horizontal="left" vertical="top" wrapText="1"/>
    </xf>
    <xf numFmtId="186" fontId="7" fillId="2" borderId="0" xfId="0" applyNumberFormat="1" applyFont="1" applyFill="1" applyAlignment="1">
      <alignment horizontal="center" vertical="top" wrapText="1"/>
    </xf>
    <xf numFmtId="0" fontId="7" fillId="3" borderId="26" xfId="0" applyFont="1" applyFill="1" applyBorder="1" applyAlignment="1">
      <alignment horizontal="center" vertical="center" shrinkToFit="1"/>
    </xf>
    <xf numFmtId="0" fontId="7" fillId="3" borderId="27" xfId="0" applyFont="1" applyFill="1" applyBorder="1" applyAlignment="1">
      <alignment horizontal="center" vertical="center" shrinkToFit="1"/>
    </xf>
    <xf numFmtId="0" fontId="7" fillId="3" borderId="27" xfId="0" applyFont="1" applyFill="1" applyBorder="1" applyAlignment="1">
      <alignment horizontal="left" vertical="center" shrinkToFit="1"/>
    </xf>
    <xf numFmtId="0" fontId="7" fillId="3" borderId="33" xfId="0" applyFont="1" applyFill="1" applyBorder="1" applyAlignment="1">
      <alignment horizontal="left" vertical="center" shrinkToFit="1"/>
    </xf>
    <xf numFmtId="0" fontId="7" fillId="3" borderId="10"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7" fillId="3" borderId="11" xfId="0" applyFont="1" applyFill="1" applyBorder="1" applyAlignment="1">
      <alignment horizontal="left" vertical="center" shrinkToFit="1"/>
    </xf>
    <xf numFmtId="0" fontId="7" fillId="3" borderId="12" xfId="0" applyFont="1" applyFill="1" applyBorder="1" applyAlignment="1">
      <alignment horizontal="left" vertical="center" shrinkToFit="1"/>
    </xf>
    <xf numFmtId="0" fontId="7" fillId="3" borderId="0" xfId="0" applyFont="1" applyFill="1" applyAlignment="1" applyProtection="1">
      <alignment horizontal="center" vertical="center"/>
      <protection locked="0"/>
    </xf>
    <xf numFmtId="0" fontId="7" fillId="3" borderId="2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48" xfId="0" applyFont="1" applyFill="1" applyBorder="1" applyAlignment="1" applyProtection="1">
      <alignment horizontal="center" vertical="center"/>
      <protection locked="0"/>
    </xf>
    <xf numFmtId="0" fontId="7" fillId="4" borderId="62"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27" xfId="0" applyFont="1" applyFill="1" applyBorder="1" applyAlignment="1">
      <alignment horizontal="left" vertical="center"/>
    </xf>
    <xf numFmtId="0" fontId="7" fillId="4" borderId="32" xfId="0" applyFont="1" applyFill="1" applyBorder="1" applyAlignment="1">
      <alignment horizontal="left" vertical="center"/>
    </xf>
    <xf numFmtId="0" fontId="7" fillId="4" borderId="41" xfId="0" applyFont="1" applyFill="1" applyBorder="1" applyAlignment="1" applyProtection="1">
      <alignment horizontal="center" vertical="center" shrinkToFit="1"/>
      <protection locked="0"/>
    </xf>
    <xf numFmtId="0" fontId="7" fillId="4" borderId="7" xfId="0" applyFont="1" applyFill="1" applyBorder="1" applyAlignment="1" applyProtection="1">
      <alignment horizontal="center" vertical="center" shrinkToFit="1"/>
      <protection locked="0"/>
    </xf>
    <xf numFmtId="0" fontId="7" fillId="4" borderId="48" xfId="0" applyFont="1" applyFill="1" applyBorder="1" applyAlignment="1" applyProtection="1">
      <alignment horizontal="center" vertical="center" shrinkToFit="1"/>
      <protection locked="0"/>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4" borderId="65"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1" xfId="0" applyFont="1" applyFill="1" applyBorder="1" applyAlignment="1">
      <alignment horizontal="left" vertical="center"/>
    </xf>
    <xf numFmtId="0" fontId="7" fillId="4" borderId="30" xfId="0" applyFont="1" applyFill="1" applyBorder="1" applyAlignment="1">
      <alignment horizontal="left" vertical="center"/>
    </xf>
    <xf numFmtId="0" fontId="7" fillId="3" borderId="5" xfId="0" applyFont="1" applyFill="1" applyBorder="1" applyAlignment="1" applyProtection="1">
      <alignment horizontal="center" vertical="center" shrinkToFit="1"/>
      <protection locked="0"/>
    </xf>
    <xf numFmtId="0" fontId="7" fillId="3" borderId="0" xfId="0" applyFont="1" applyFill="1" applyAlignment="1" applyProtection="1">
      <alignment horizontal="center" vertical="center" shrinkToFit="1"/>
      <protection locked="0"/>
    </xf>
    <xf numFmtId="0" fontId="7" fillId="3" borderId="9" xfId="0" applyFont="1" applyFill="1" applyBorder="1" applyAlignment="1" applyProtection="1">
      <alignment horizontal="center" vertical="center" shrinkToFit="1"/>
      <protection locked="0"/>
    </xf>
    <xf numFmtId="0" fontId="7" fillId="3" borderId="11" xfId="0" applyFont="1" applyFill="1" applyBorder="1" applyAlignment="1">
      <alignment horizontal="left" vertical="center"/>
    </xf>
    <xf numFmtId="0" fontId="7" fillId="3" borderId="30" xfId="0" applyFont="1" applyFill="1" applyBorder="1" applyAlignment="1">
      <alignment horizontal="left" vertical="center"/>
    </xf>
    <xf numFmtId="0" fontId="7" fillId="3" borderId="26"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7" xfId="0" applyFont="1" applyFill="1" applyBorder="1" applyAlignment="1">
      <alignment horizontal="left" vertical="center"/>
    </xf>
    <xf numFmtId="0" fontId="7" fillId="3" borderId="32" xfId="0" applyFont="1" applyFill="1" applyBorder="1" applyAlignment="1">
      <alignment horizontal="left" vertical="center"/>
    </xf>
    <xf numFmtId="0" fontId="7" fillId="4" borderId="19" xfId="0" applyFont="1" applyFill="1" applyBorder="1" applyAlignment="1" applyProtection="1">
      <alignment horizontal="center" vertical="center" shrinkToFit="1"/>
      <protection locked="0"/>
    </xf>
    <xf numFmtId="0" fontId="7" fillId="4" borderId="0" xfId="0" applyFont="1" applyFill="1" applyAlignment="1" applyProtection="1">
      <alignment horizontal="center" vertical="center" shrinkToFit="1"/>
      <protection locked="0"/>
    </xf>
    <xf numFmtId="0" fontId="7" fillId="4" borderId="20" xfId="0" applyFont="1" applyFill="1" applyBorder="1" applyAlignment="1" applyProtection="1">
      <alignment horizontal="center" vertical="center" shrinkToFit="1"/>
      <protection locked="0"/>
    </xf>
    <xf numFmtId="0" fontId="7" fillId="4" borderId="19" xfId="0" applyFont="1" applyFill="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0" fontId="7" fillId="4" borderId="20" xfId="0" applyFont="1" applyFill="1" applyBorder="1" applyAlignment="1" applyProtection="1">
      <alignment horizontal="center" vertical="center"/>
      <protection locked="0"/>
    </xf>
    <xf numFmtId="0" fontId="7" fillId="4" borderId="79" xfId="0" applyFont="1" applyFill="1" applyBorder="1" applyAlignment="1" applyProtection="1">
      <alignment horizontal="center" vertical="center" shrinkToFit="1"/>
      <protection locked="0"/>
    </xf>
    <xf numFmtId="0" fontId="7" fillId="4" borderId="58" xfId="0" applyFont="1" applyFill="1" applyBorder="1" applyAlignment="1" applyProtection="1">
      <alignment horizontal="center" vertical="center" shrinkToFit="1"/>
      <protection locked="0"/>
    </xf>
    <xf numFmtId="0" fontId="7" fillId="4" borderId="80" xfId="0" applyFont="1" applyFill="1" applyBorder="1" applyAlignment="1" applyProtection="1">
      <alignment horizontal="center" vertical="center" shrinkToFit="1"/>
      <protection locked="0"/>
    </xf>
    <xf numFmtId="0" fontId="7" fillId="4" borderId="62" xfId="0" applyFont="1" applyFill="1" applyBorder="1" applyAlignment="1" applyProtection="1">
      <alignment horizontal="center" vertical="center"/>
      <protection locked="0"/>
    </xf>
    <xf numFmtId="0" fontId="7" fillId="4" borderId="27" xfId="0" applyFont="1" applyFill="1" applyBorder="1" applyAlignment="1" applyProtection="1">
      <alignment horizontal="center" vertical="center"/>
      <protection locked="0"/>
    </xf>
    <xf numFmtId="0" fontId="7" fillId="4" borderId="32" xfId="0" applyFont="1" applyFill="1" applyBorder="1" applyAlignment="1" applyProtection="1">
      <alignment horizontal="center" vertical="center"/>
      <protection locked="0"/>
    </xf>
    <xf numFmtId="0" fontId="7" fillId="2" borderId="256" xfId="0" applyFont="1" applyFill="1" applyBorder="1" applyAlignment="1">
      <alignment horizontal="center" vertical="center"/>
    </xf>
    <xf numFmtId="0" fontId="7" fillId="2" borderId="257" xfId="0" applyFont="1" applyFill="1" applyBorder="1" applyAlignment="1">
      <alignment horizontal="center" vertical="center"/>
    </xf>
    <xf numFmtId="0" fontId="7" fillId="2" borderId="258" xfId="0" applyFont="1" applyFill="1" applyBorder="1" applyAlignment="1">
      <alignment horizontal="center" vertical="center"/>
    </xf>
    <xf numFmtId="0" fontId="7" fillId="4" borderId="75" xfId="0" applyFont="1" applyFill="1" applyBorder="1" applyAlignment="1" applyProtection="1">
      <alignment horizontal="center" vertical="center" shrinkToFit="1"/>
      <protection locked="0"/>
    </xf>
    <xf numFmtId="0" fontId="7" fillId="4" borderId="18" xfId="0" applyFont="1" applyFill="1" applyBorder="1" applyAlignment="1" applyProtection="1">
      <alignment horizontal="center" vertical="center" shrinkToFit="1"/>
      <protection locked="0"/>
    </xf>
    <xf numFmtId="0" fontId="7" fillId="4" borderId="64" xfId="0" applyFont="1" applyFill="1" applyBorder="1" applyAlignment="1" applyProtection="1">
      <alignment horizontal="center" vertical="center" shrinkToFit="1"/>
      <protection locked="0"/>
    </xf>
    <xf numFmtId="0" fontId="7" fillId="2" borderId="19"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0"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7" fillId="3" borderId="76" xfId="0" applyFont="1" applyFill="1" applyBorder="1" applyAlignment="1" applyProtection="1">
      <alignment horizontal="center" vertical="center" shrinkToFit="1"/>
      <protection locked="0"/>
    </xf>
    <xf numFmtId="0" fontId="7" fillId="3" borderId="18" xfId="0" applyFont="1" applyFill="1" applyBorder="1" applyAlignment="1" applyProtection="1">
      <alignment horizontal="center" vertical="center" shrinkToFit="1"/>
      <protection locked="0"/>
    </xf>
    <xf numFmtId="0" fontId="7" fillId="3" borderId="77" xfId="0" applyFont="1" applyFill="1" applyBorder="1" applyAlignment="1" applyProtection="1">
      <alignment horizontal="center" vertical="center" shrinkToFit="1"/>
      <protection locked="0"/>
    </xf>
    <xf numFmtId="187" fontId="7" fillId="3" borderId="75" xfId="0" applyNumberFormat="1" applyFont="1" applyFill="1" applyBorder="1" applyAlignment="1" applyProtection="1">
      <alignment horizontal="center" vertical="center" shrinkToFit="1"/>
      <protection locked="0"/>
    </xf>
    <xf numFmtId="187" fontId="7" fillId="3" borderId="18" xfId="0" applyNumberFormat="1" applyFont="1" applyFill="1" applyBorder="1" applyAlignment="1" applyProtection="1">
      <alignment horizontal="center" vertical="center" shrinkToFit="1"/>
      <protection locked="0"/>
    </xf>
    <xf numFmtId="187" fontId="7" fillId="3" borderId="77" xfId="0" applyNumberFormat="1" applyFont="1" applyFill="1" applyBorder="1" applyAlignment="1" applyProtection="1">
      <alignment horizontal="center" vertical="center" shrinkToFit="1"/>
      <protection locked="0"/>
    </xf>
    <xf numFmtId="187" fontId="7" fillId="3" borderId="19" xfId="0" applyNumberFormat="1" applyFont="1" applyFill="1" applyBorder="1" applyAlignment="1" applyProtection="1">
      <alignment horizontal="center" vertical="center" shrinkToFit="1"/>
      <protection locked="0"/>
    </xf>
    <xf numFmtId="187" fontId="7" fillId="3" borderId="0" xfId="0" applyNumberFormat="1" applyFont="1" applyFill="1" applyAlignment="1" applyProtection="1">
      <alignment horizontal="center" vertical="center" shrinkToFit="1"/>
      <protection locked="0"/>
    </xf>
    <xf numFmtId="187" fontId="7" fillId="3" borderId="9" xfId="0" applyNumberFormat="1" applyFont="1" applyFill="1" applyBorder="1" applyAlignment="1" applyProtection="1">
      <alignment horizontal="center" vertical="center" shrinkToFit="1"/>
      <protection locked="0"/>
    </xf>
    <xf numFmtId="0" fontId="7" fillId="3" borderId="18" xfId="0" applyFont="1" applyFill="1" applyBorder="1" applyAlignment="1" applyProtection="1">
      <alignment horizontal="center" vertical="center"/>
      <protection locked="0"/>
    </xf>
    <xf numFmtId="0" fontId="7" fillId="3" borderId="64" xfId="0" applyFont="1" applyFill="1" applyBorder="1" applyAlignment="1" applyProtection="1">
      <alignment horizontal="center" vertical="center"/>
      <protection locked="0"/>
    </xf>
    <xf numFmtId="187" fontId="7" fillId="3" borderId="65" xfId="0" applyNumberFormat="1" applyFont="1" applyFill="1" applyBorder="1" applyAlignment="1" applyProtection="1">
      <alignment horizontal="center" vertical="center" shrinkToFit="1"/>
      <protection locked="0"/>
    </xf>
    <xf numFmtId="187" fontId="7" fillId="3" borderId="11" xfId="0" applyNumberFormat="1" applyFont="1" applyFill="1" applyBorder="1" applyAlignment="1" applyProtection="1">
      <alignment horizontal="center" vertical="center" shrinkToFit="1"/>
      <protection locked="0"/>
    </xf>
    <xf numFmtId="187" fontId="7" fillId="3" borderId="12" xfId="0" applyNumberFormat="1" applyFont="1" applyFill="1" applyBorder="1" applyAlignment="1" applyProtection="1">
      <alignment horizontal="center" vertical="center" shrinkToFit="1"/>
      <protection locked="0"/>
    </xf>
    <xf numFmtId="0" fontId="7" fillId="3" borderId="6" xfId="0" applyFont="1" applyFill="1" applyBorder="1" applyAlignment="1" applyProtection="1">
      <alignment horizontal="center" vertical="center"/>
      <protection locked="0"/>
    </xf>
    <xf numFmtId="0" fontId="7" fillId="3" borderId="239" xfId="0" applyFont="1" applyFill="1" applyBorder="1" applyAlignment="1" applyProtection="1">
      <alignment horizontal="center" vertical="center"/>
      <protection locked="0"/>
    </xf>
    <xf numFmtId="177" fontId="7" fillId="3" borderId="31" xfId="0" applyNumberFormat="1" applyFont="1" applyFill="1" applyBorder="1" applyAlignment="1" applyProtection="1">
      <alignment horizontal="center" vertical="center"/>
      <protection locked="0"/>
    </xf>
    <xf numFmtId="177" fontId="7" fillId="3" borderId="46" xfId="0" applyNumberFormat="1" applyFont="1" applyFill="1" applyBorder="1" applyAlignment="1" applyProtection="1">
      <alignment horizontal="center" vertical="center"/>
      <protection locked="0"/>
    </xf>
    <xf numFmtId="177" fontId="7" fillId="3" borderId="352" xfId="0" applyNumberFormat="1" applyFont="1" applyFill="1" applyBorder="1" applyAlignment="1" applyProtection="1">
      <alignment horizontal="center" vertical="center"/>
      <protection locked="0"/>
    </xf>
    <xf numFmtId="0" fontId="7" fillId="2" borderId="53"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16" fillId="2" borderId="19"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9" xfId="0" applyFont="1" applyFill="1" applyBorder="1" applyAlignment="1">
      <alignment horizontal="left" vertical="center" wrapText="1"/>
    </xf>
    <xf numFmtId="0" fontId="16" fillId="2" borderId="65"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7" fillId="2" borderId="1" xfId="0" applyFont="1" applyFill="1" applyBorder="1" applyAlignment="1">
      <alignment horizontal="center" vertical="center" shrinkToFit="1"/>
    </xf>
    <xf numFmtId="0" fontId="7" fillId="2" borderId="1" xfId="0" applyFont="1" applyFill="1" applyBorder="1" applyAlignment="1">
      <alignment horizontal="center" vertical="center" wrapText="1" shrinkToFit="1"/>
    </xf>
    <xf numFmtId="0" fontId="7" fillId="3" borderId="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93"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46" xfId="0" applyFont="1" applyFill="1" applyBorder="1" applyAlignment="1">
      <alignment horizontal="center" vertical="center"/>
    </xf>
    <xf numFmtId="0" fontId="7" fillId="2" borderId="351" xfId="0" applyFont="1" applyFill="1" applyBorder="1" applyAlignment="1">
      <alignment horizontal="center" vertical="center"/>
    </xf>
    <xf numFmtId="0" fontId="7" fillId="3" borderId="53" xfId="0" applyFont="1" applyFill="1" applyBorder="1" applyAlignment="1" applyProtection="1">
      <alignment horizontal="left" vertical="center"/>
      <protection locked="0"/>
    </xf>
    <xf numFmtId="0" fontId="7" fillId="3" borderId="71" xfId="0" applyFont="1" applyFill="1" applyBorder="1" applyAlignment="1" applyProtection="1">
      <alignment horizontal="left" vertical="center"/>
      <protection locked="0"/>
    </xf>
    <xf numFmtId="0" fontId="7" fillId="3" borderId="54" xfId="0" applyFont="1" applyFill="1" applyBorder="1" applyAlignment="1" applyProtection="1">
      <alignment horizontal="left" vertical="center"/>
      <protection locked="0"/>
    </xf>
    <xf numFmtId="0" fontId="7" fillId="3" borderId="70" xfId="0" applyFont="1" applyFill="1" applyBorder="1" applyAlignment="1" applyProtection="1">
      <alignment horizontal="left" vertical="center"/>
      <protection locked="0"/>
    </xf>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3" borderId="13" xfId="0" applyFont="1" applyFill="1" applyBorder="1" applyAlignment="1" applyProtection="1">
      <alignment horizontal="center" vertical="center"/>
      <protection locked="0"/>
    </xf>
    <xf numFmtId="0" fontId="7" fillId="3" borderId="67"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protection locked="0"/>
    </xf>
    <xf numFmtId="0" fontId="7" fillId="2" borderId="79" xfId="0" applyFont="1" applyFill="1" applyBorder="1" applyAlignment="1">
      <alignment horizontal="center" vertical="center"/>
    </xf>
    <xf numFmtId="0" fontId="7" fillId="2" borderId="58" xfId="0" applyFont="1" applyFill="1" applyBorder="1" applyAlignment="1">
      <alignment horizontal="center" vertical="center"/>
    </xf>
    <xf numFmtId="0" fontId="7" fillId="2" borderId="80" xfId="0" applyFont="1" applyFill="1" applyBorder="1" applyAlignment="1">
      <alignment horizontal="center" vertical="center"/>
    </xf>
    <xf numFmtId="0" fontId="7" fillId="2" borderId="0" xfId="0" applyFont="1" applyFill="1" applyAlignment="1">
      <alignment horizontal="center" vertical="top" wrapText="1"/>
    </xf>
    <xf numFmtId="0" fontId="8" fillId="3" borderId="11" xfId="0" applyFont="1" applyFill="1" applyBorder="1" applyAlignment="1" applyProtection="1">
      <alignment horizontal="left" vertical="center" shrinkToFit="1"/>
      <protection locked="0"/>
    </xf>
    <xf numFmtId="0" fontId="8" fillId="3" borderId="30" xfId="0" applyFont="1" applyFill="1" applyBorder="1" applyAlignment="1" applyProtection="1">
      <alignment horizontal="left" vertical="center" shrinkToFit="1"/>
      <protection locked="0"/>
    </xf>
    <xf numFmtId="0" fontId="8" fillId="3" borderId="0" xfId="0" applyFont="1" applyFill="1" applyAlignment="1">
      <alignment horizontal="left" vertical="center" shrinkToFit="1"/>
    </xf>
    <xf numFmtId="0" fontId="8" fillId="3" borderId="20" xfId="0" applyFont="1" applyFill="1" applyBorder="1" applyAlignment="1">
      <alignment horizontal="left" vertical="center" shrinkToFit="1"/>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7" fillId="2" borderId="6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37"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3" borderId="26"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3" borderId="242" xfId="0" applyFont="1" applyFill="1" applyBorder="1" applyAlignment="1" applyProtection="1">
      <alignment horizontal="center" vertical="center"/>
      <protection locked="0"/>
    </xf>
    <xf numFmtId="0" fontId="9" fillId="2" borderId="5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45"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348" xfId="0" applyFont="1" applyFill="1" applyBorder="1" applyAlignment="1">
      <alignment horizontal="center" vertical="center" wrapText="1"/>
    </xf>
    <xf numFmtId="0" fontId="7" fillId="2" borderId="53" xfId="0" applyFont="1" applyFill="1" applyBorder="1" applyAlignment="1" applyProtection="1">
      <alignment horizontal="center" vertical="center"/>
      <protection locked="0"/>
    </xf>
    <xf numFmtId="0" fontId="7" fillId="2" borderId="71" xfId="0" applyFont="1" applyFill="1" applyBorder="1" applyAlignment="1" applyProtection="1">
      <alignment horizontal="center" vertical="center"/>
      <protection locked="0"/>
    </xf>
    <xf numFmtId="0" fontId="7" fillId="2" borderId="66"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15" xfId="0" applyFont="1" applyFill="1" applyBorder="1" applyAlignment="1">
      <alignment horizontal="center" vertical="center"/>
    </xf>
    <xf numFmtId="0" fontId="7" fillId="3" borderId="52" xfId="0" applyFont="1" applyFill="1" applyBorder="1" applyAlignment="1" applyProtection="1">
      <alignment horizontal="center" vertical="center"/>
      <protection locked="0"/>
    </xf>
    <xf numFmtId="0" fontId="7" fillId="3" borderId="84" xfId="0" applyFont="1" applyFill="1" applyBorder="1" applyAlignment="1" applyProtection="1">
      <alignment horizontal="center" vertical="center"/>
      <protection locked="0"/>
    </xf>
    <xf numFmtId="0" fontId="7" fillId="2" borderId="22" xfId="0" applyFont="1" applyFill="1" applyBorder="1" applyAlignment="1">
      <alignment horizontal="left" vertical="center"/>
    </xf>
    <xf numFmtId="0" fontId="7" fillId="2" borderId="23" xfId="0" applyFont="1" applyFill="1" applyBorder="1" applyAlignment="1">
      <alignment horizontal="left" vertical="center"/>
    </xf>
    <xf numFmtId="178" fontId="7" fillId="3" borderId="57" xfId="0" applyNumberFormat="1" applyFont="1" applyFill="1" applyBorder="1" applyAlignment="1" applyProtection="1">
      <alignment horizontal="center" vertical="center"/>
      <protection locked="0"/>
    </xf>
    <xf numFmtId="178" fontId="7" fillId="3" borderId="58" xfId="0" applyNumberFormat="1" applyFont="1" applyFill="1" applyBorder="1" applyAlignment="1" applyProtection="1">
      <alignment horizontal="center" vertical="center"/>
      <protection locked="0"/>
    </xf>
    <xf numFmtId="0" fontId="7" fillId="2" borderId="7" xfId="0" applyFont="1" applyFill="1" applyBorder="1" applyAlignment="1">
      <alignment horizontal="left" vertical="center"/>
    </xf>
    <xf numFmtId="0" fontId="7" fillId="2" borderId="48" xfId="0" applyFont="1" applyFill="1" applyBorder="1" applyAlignment="1">
      <alignment horizontal="left" vertical="center"/>
    </xf>
    <xf numFmtId="20" fontId="7" fillId="2" borderId="250" xfId="0" applyNumberFormat="1" applyFont="1" applyFill="1" applyBorder="1" applyAlignment="1">
      <alignment horizontal="center" vertical="center"/>
    </xf>
    <xf numFmtId="20" fontId="7" fillId="2" borderId="244" xfId="0" applyNumberFormat="1" applyFont="1" applyFill="1" applyBorder="1" applyAlignment="1">
      <alignment horizontal="center" vertical="center"/>
    </xf>
    <xf numFmtId="20" fontId="7" fillId="2" borderId="245" xfId="0" applyNumberFormat="1" applyFont="1" applyFill="1" applyBorder="1" applyAlignment="1">
      <alignment horizontal="center" vertical="center"/>
    </xf>
    <xf numFmtId="20" fontId="7" fillId="2" borderId="240" xfId="0" applyNumberFormat="1" applyFont="1" applyFill="1" applyBorder="1" applyAlignment="1">
      <alignment horizontal="center" vertical="center"/>
    </xf>
    <xf numFmtId="20" fontId="7" fillId="2" borderId="0" xfId="0" applyNumberFormat="1" applyFont="1" applyFill="1" applyAlignment="1">
      <alignment horizontal="center" vertical="center"/>
    </xf>
    <xf numFmtId="20" fontId="7" fillId="2" borderId="251" xfId="0" applyNumberFormat="1" applyFont="1" applyFill="1" applyBorder="1" applyAlignment="1">
      <alignment horizontal="center" vertical="center"/>
    </xf>
    <xf numFmtId="20" fontId="7" fillId="2" borderId="252" xfId="0" applyNumberFormat="1" applyFont="1" applyFill="1" applyBorder="1" applyAlignment="1">
      <alignment horizontal="center" vertical="center"/>
    </xf>
    <xf numFmtId="20" fontId="7" fillId="2" borderId="11" xfId="0" applyNumberFormat="1" applyFont="1" applyFill="1" applyBorder="1" applyAlignment="1">
      <alignment horizontal="center" vertical="center"/>
    </xf>
    <xf numFmtId="20" fontId="7" fillId="2" borderId="249" xfId="0" applyNumberFormat="1"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43" xfId="0" applyFont="1" applyFill="1" applyBorder="1" applyAlignment="1">
      <alignment horizontal="center" vertical="center"/>
    </xf>
    <xf numFmtId="0" fontId="7" fillId="3" borderId="76" xfId="0" applyFont="1" applyFill="1" applyBorder="1" applyAlignment="1" applyProtection="1">
      <alignment horizontal="center" vertical="center"/>
      <protection locked="0"/>
    </xf>
    <xf numFmtId="0" fontId="7" fillId="3" borderId="77"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10" fillId="2" borderId="0" xfId="0" applyFont="1" applyFill="1" applyAlignment="1">
      <alignment horizontal="center" vertical="center"/>
    </xf>
    <xf numFmtId="0" fontId="7" fillId="2" borderId="29" xfId="0" applyFont="1" applyFill="1" applyBorder="1" applyAlignment="1">
      <alignment horizontal="center" vertical="center"/>
    </xf>
    <xf numFmtId="0" fontId="7" fillId="2" borderId="175" xfId="0" applyFont="1" applyFill="1" applyBorder="1" applyAlignment="1">
      <alignment horizontal="center" vertical="center"/>
    </xf>
    <xf numFmtId="0" fontId="7" fillId="3" borderId="29" xfId="0" applyFont="1" applyFill="1" applyBorder="1" applyAlignment="1" applyProtection="1">
      <alignment horizontal="left" vertical="center"/>
      <protection locked="0"/>
    </xf>
    <xf numFmtId="0" fontId="7" fillId="3" borderId="35" xfId="0" applyFont="1" applyFill="1" applyBorder="1" applyAlignment="1" applyProtection="1">
      <alignment horizontal="left" vertical="center"/>
      <protection locked="0"/>
    </xf>
    <xf numFmtId="0" fontId="7" fillId="3" borderId="7" xfId="0" applyFont="1" applyFill="1" applyBorder="1" applyAlignment="1">
      <alignment horizontal="left" vertical="center" shrinkToFit="1"/>
    </xf>
    <xf numFmtId="0" fontId="7" fillId="3" borderId="48" xfId="0" applyFont="1" applyFill="1" applyBorder="1" applyAlignment="1">
      <alignment horizontal="left" vertical="center" shrinkToFit="1"/>
    </xf>
    <xf numFmtId="0" fontId="7" fillId="3" borderId="30" xfId="0" applyFont="1" applyFill="1" applyBorder="1" applyAlignment="1">
      <alignment horizontal="left" vertical="center" shrinkToFit="1"/>
    </xf>
    <xf numFmtId="49" fontId="7" fillId="3" borderId="11" xfId="0" applyNumberFormat="1" applyFont="1" applyFill="1" applyBorder="1" applyAlignment="1">
      <alignment horizontal="left" vertical="center"/>
    </xf>
    <xf numFmtId="0" fontId="7" fillId="2" borderId="315" xfId="0" applyFont="1" applyFill="1" applyBorder="1" applyAlignment="1">
      <alignment horizontal="center" vertical="center"/>
    </xf>
    <xf numFmtId="0" fontId="8" fillId="3" borderId="29" xfId="0" applyFont="1" applyFill="1" applyBorder="1" applyAlignment="1" applyProtection="1">
      <alignment horizontal="left" vertical="center" shrinkToFit="1"/>
      <protection locked="0"/>
    </xf>
    <xf numFmtId="0" fontId="8" fillId="3" borderId="35" xfId="0" applyFont="1" applyFill="1" applyBorder="1" applyAlignment="1" applyProtection="1">
      <alignment horizontal="left" vertical="center" shrinkToFit="1"/>
      <protection locked="0"/>
    </xf>
    <xf numFmtId="0" fontId="7" fillId="2" borderId="246" xfId="0" applyFont="1" applyFill="1" applyBorder="1" applyAlignment="1">
      <alignment horizontal="center" vertical="center"/>
    </xf>
    <xf numFmtId="0" fontId="7" fillId="2" borderId="247" xfId="0" applyFont="1" applyFill="1" applyBorder="1" applyAlignment="1">
      <alignment horizontal="center" vertical="center"/>
    </xf>
    <xf numFmtId="0" fontId="7" fillId="2" borderId="248" xfId="0" applyFont="1" applyFill="1" applyBorder="1" applyAlignment="1">
      <alignment horizontal="center" vertical="center"/>
    </xf>
    <xf numFmtId="20" fontId="7" fillId="3" borderId="250" xfId="0" applyNumberFormat="1" applyFont="1" applyFill="1" applyBorder="1" applyAlignment="1" applyProtection="1">
      <alignment horizontal="center" vertical="center"/>
      <protection locked="0"/>
    </xf>
    <xf numFmtId="0" fontId="7" fillId="3" borderId="244" xfId="0" applyFont="1" applyFill="1" applyBorder="1" applyAlignment="1" applyProtection="1">
      <alignment horizontal="center" vertical="center"/>
      <protection locked="0"/>
    </xf>
    <xf numFmtId="0" fontId="7" fillId="3" borderId="245" xfId="0" applyFont="1" applyFill="1" applyBorder="1" applyAlignment="1" applyProtection="1">
      <alignment horizontal="center" vertical="center"/>
      <protection locked="0"/>
    </xf>
    <xf numFmtId="0" fontId="7" fillId="3" borderId="253" xfId="0" applyFont="1" applyFill="1" applyBorder="1" applyAlignment="1" applyProtection="1">
      <alignment horizontal="center" vertical="center"/>
      <protection locked="0"/>
    </xf>
    <xf numFmtId="0" fontId="7" fillId="3" borderId="247" xfId="0" applyFont="1" applyFill="1" applyBorder="1" applyAlignment="1" applyProtection="1">
      <alignment horizontal="center" vertical="center"/>
      <protection locked="0"/>
    </xf>
    <xf numFmtId="0" fontId="7" fillId="3" borderId="248" xfId="0" applyFont="1" applyFill="1" applyBorder="1" applyAlignment="1" applyProtection="1">
      <alignment horizontal="center" vertical="center"/>
      <protection locked="0"/>
    </xf>
    <xf numFmtId="0" fontId="7" fillId="3" borderId="252" xfId="0" applyFont="1" applyFill="1" applyBorder="1" applyAlignment="1" applyProtection="1">
      <alignment horizontal="center" vertical="center"/>
      <protection locked="0"/>
    </xf>
    <xf numFmtId="0" fontId="7" fillId="3" borderId="249" xfId="0" applyFont="1" applyFill="1" applyBorder="1" applyAlignment="1" applyProtection="1">
      <alignment horizontal="center" vertical="center"/>
      <protection locked="0"/>
    </xf>
    <xf numFmtId="0" fontId="15" fillId="2" borderId="59"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7" fillId="4" borderId="65"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vertical="center"/>
      <protection locked="0"/>
    </xf>
    <xf numFmtId="0" fontId="7" fillId="4" borderId="30" xfId="0" applyFont="1" applyFill="1" applyBorder="1" applyAlignment="1" applyProtection="1">
      <alignment horizontal="center" vertical="center"/>
      <protection locked="0"/>
    </xf>
    <xf numFmtId="0" fontId="7" fillId="4" borderId="308" xfId="0" applyFont="1" applyFill="1" applyBorder="1" applyAlignment="1" applyProtection="1">
      <alignment horizontal="center" vertical="center" shrinkToFit="1"/>
      <protection locked="0"/>
    </xf>
    <xf numFmtId="0" fontId="7" fillId="4" borderId="309" xfId="0" applyFont="1" applyFill="1" applyBorder="1" applyAlignment="1" applyProtection="1">
      <alignment horizontal="center" vertical="center" shrinkToFit="1"/>
      <protection locked="0"/>
    </xf>
    <xf numFmtId="0" fontId="7" fillId="4" borderId="310" xfId="0" applyFont="1" applyFill="1" applyBorder="1" applyAlignment="1" applyProtection="1">
      <alignment horizontal="center" vertical="center" shrinkToFit="1"/>
      <protection locked="0"/>
    </xf>
    <xf numFmtId="187" fontId="7" fillId="3" borderId="82" xfId="0" applyNumberFormat="1" applyFont="1" applyFill="1" applyBorder="1" applyAlignment="1" applyProtection="1">
      <alignment horizontal="center" vertical="center" shrinkToFit="1"/>
      <protection locked="0"/>
    </xf>
    <xf numFmtId="187" fontId="7" fillId="3" borderId="3" xfId="0" applyNumberFormat="1" applyFont="1" applyFill="1" applyBorder="1" applyAlignment="1" applyProtection="1">
      <alignment horizontal="center" vertical="center" shrinkToFit="1"/>
      <protection locked="0"/>
    </xf>
    <xf numFmtId="187" fontId="7" fillId="3" borderId="4" xfId="0" applyNumberFormat="1" applyFont="1" applyFill="1" applyBorder="1" applyAlignment="1" applyProtection="1">
      <alignment horizontal="center" vertical="center" shrinkToFit="1"/>
      <protection locked="0"/>
    </xf>
    <xf numFmtId="0" fontId="7" fillId="3" borderId="83" xfId="0" applyFont="1" applyFill="1" applyBorder="1" applyAlignment="1" applyProtection="1">
      <alignment horizontal="center" vertical="center"/>
      <protection locked="0"/>
    </xf>
    <xf numFmtId="0" fontId="7" fillId="3" borderId="33" xfId="0" applyFont="1" applyFill="1" applyBorder="1" applyAlignment="1" applyProtection="1">
      <alignment horizontal="center" vertical="center"/>
      <protection locked="0"/>
    </xf>
    <xf numFmtId="187" fontId="7" fillId="2" borderId="40" xfId="0" applyNumberFormat="1" applyFont="1" applyFill="1" applyBorder="1" applyAlignment="1">
      <alignment horizontal="center" vertical="center"/>
    </xf>
    <xf numFmtId="187" fontId="7" fillId="2" borderId="29" xfId="0" applyNumberFormat="1" applyFont="1" applyFill="1" applyBorder="1" applyAlignment="1">
      <alignment horizontal="center" vertical="center"/>
    </xf>
    <xf numFmtId="187" fontId="7" fillId="2" borderId="175" xfId="0" applyNumberFormat="1" applyFont="1" applyFill="1" applyBorder="1" applyAlignment="1">
      <alignment horizontal="center" vertical="center"/>
    </xf>
    <xf numFmtId="187" fontId="7" fillId="2" borderId="42" xfId="0" applyNumberFormat="1" applyFont="1" applyFill="1" applyBorder="1" applyAlignment="1">
      <alignment horizontal="center" vertical="center"/>
    </xf>
    <xf numFmtId="187" fontId="7" fillId="2" borderId="38" xfId="0" applyNumberFormat="1" applyFont="1" applyFill="1" applyBorder="1" applyAlignment="1">
      <alignment horizontal="center" vertical="center"/>
    </xf>
    <xf numFmtId="187" fontId="7" fillId="2" borderId="43" xfId="0" applyNumberFormat="1" applyFont="1" applyFill="1" applyBorder="1" applyAlignment="1">
      <alignment horizontal="center" vertical="center"/>
    </xf>
    <xf numFmtId="0" fontId="7" fillId="2" borderId="174"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43" xfId="0" applyFont="1" applyFill="1" applyBorder="1" applyAlignment="1">
      <alignment horizontal="center" vertical="center"/>
    </xf>
    <xf numFmtId="0" fontId="7" fillId="2" borderId="49" xfId="0" applyFont="1" applyFill="1" applyBorder="1" applyAlignment="1">
      <alignment horizontal="center" vertical="center"/>
    </xf>
    <xf numFmtId="0" fontId="7" fillId="4" borderId="305" xfId="0" applyFont="1" applyFill="1" applyBorder="1" applyAlignment="1" applyProtection="1">
      <alignment horizontal="center" vertical="center" shrinkToFit="1"/>
      <protection locked="0"/>
    </xf>
    <xf numFmtId="0" fontId="7" fillId="4" borderId="306" xfId="0" applyFont="1" applyFill="1" applyBorder="1" applyAlignment="1" applyProtection="1">
      <alignment horizontal="center" vertical="center" shrinkToFit="1"/>
      <protection locked="0"/>
    </xf>
    <xf numFmtId="0" fontId="7" fillId="4" borderId="307" xfId="0" applyFont="1" applyFill="1" applyBorder="1" applyAlignment="1" applyProtection="1">
      <alignment horizontal="center" vertical="center" shrinkToFit="1"/>
      <protection locked="0"/>
    </xf>
    <xf numFmtId="0" fontId="7" fillId="2" borderId="41" xfId="0" applyFont="1" applyFill="1" applyBorder="1" applyAlignment="1">
      <alignment horizontal="center" vertical="center"/>
    </xf>
    <xf numFmtId="0" fontId="7" fillId="2" borderId="65"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17" fillId="3" borderId="6" xfId="0" applyFont="1" applyFill="1" applyBorder="1" applyAlignment="1">
      <alignment horizontal="left" vertical="center" shrinkToFit="1"/>
    </xf>
    <xf numFmtId="0" fontId="17" fillId="3" borderId="7" xfId="0" applyFont="1" applyFill="1" applyBorder="1" applyAlignment="1">
      <alignment horizontal="left" vertical="center" shrinkToFit="1"/>
    </xf>
    <xf numFmtId="0" fontId="17" fillId="3" borderId="8" xfId="0" applyFont="1" applyFill="1" applyBorder="1" applyAlignment="1">
      <alignment horizontal="left" vertical="center" shrinkToFit="1"/>
    </xf>
    <xf numFmtId="0" fontId="17" fillId="3" borderId="6" xfId="0" applyFont="1" applyFill="1" applyBorder="1" applyAlignment="1">
      <alignment horizontal="left" vertical="center"/>
    </xf>
    <xf numFmtId="0" fontId="17" fillId="3" borderId="7" xfId="0" applyFont="1" applyFill="1" applyBorder="1" applyAlignment="1">
      <alignment horizontal="left" vertical="center"/>
    </xf>
    <xf numFmtId="0" fontId="17" fillId="3" borderId="48" xfId="0" applyFont="1" applyFill="1" applyBorder="1" applyAlignment="1">
      <alignment horizontal="left" vertical="center"/>
    </xf>
    <xf numFmtId="0" fontId="8" fillId="3" borderId="12" xfId="0" applyFont="1" applyFill="1" applyBorder="1" applyAlignment="1" applyProtection="1">
      <alignment horizontal="left" vertical="center" shrinkToFit="1"/>
      <protection locked="0"/>
    </xf>
    <xf numFmtId="0" fontId="8" fillId="3" borderId="15" xfId="0" applyFont="1" applyFill="1" applyBorder="1" applyAlignment="1" applyProtection="1">
      <alignment horizontal="left" vertical="center" shrinkToFit="1"/>
      <protection locked="0"/>
    </xf>
    <xf numFmtId="0" fontId="8" fillId="3" borderId="10" xfId="0" applyFont="1" applyFill="1" applyBorder="1" applyAlignment="1" applyProtection="1">
      <alignment horizontal="left" vertical="center" shrinkToFit="1"/>
      <protection locked="0"/>
    </xf>
    <xf numFmtId="0" fontId="8" fillId="3" borderId="15" xfId="0" applyFont="1" applyFill="1" applyBorder="1" applyAlignment="1" applyProtection="1">
      <alignment horizontal="left" vertical="center" wrapText="1" shrinkToFit="1"/>
      <protection locked="0"/>
    </xf>
    <xf numFmtId="0" fontId="8" fillId="3" borderId="24" xfId="0" applyFont="1" applyFill="1" applyBorder="1" applyAlignment="1" applyProtection="1">
      <alignment horizontal="left" vertical="center" wrapText="1" shrinkToFit="1"/>
      <protection locked="0"/>
    </xf>
    <xf numFmtId="0" fontId="20" fillId="3" borderId="36" xfId="0" applyFont="1" applyFill="1" applyBorder="1" applyAlignment="1" applyProtection="1">
      <alignment horizontal="left" vertical="center"/>
      <protection locked="0"/>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7" fillId="2" borderId="349" xfId="0" applyFont="1" applyFill="1" applyBorder="1" applyAlignment="1">
      <alignment horizontal="center" vertical="center"/>
    </xf>
    <xf numFmtId="0" fontId="7" fillId="2" borderId="349" xfId="0" applyFont="1" applyFill="1" applyBorder="1" applyAlignment="1" applyProtection="1">
      <alignment horizontal="center" vertical="center"/>
      <protection locked="0"/>
    </xf>
    <xf numFmtId="0" fontId="7" fillId="2" borderId="350" xfId="0" applyFont="1" applyFill="1" applyBorder="1" applyAlignment="1" applyProtection="1">
      <alignment horizontal="center" vertical="center"/>
      <protection locked="0"/>
    </xf>
    <xf numFmtId="0" fontId="8" fillId="3" borderId="1" xfId="0" applyFont="1" applyFill="1" applyBorder="1" applyAlignment="1" applyProtection="1">
      <alignment horizontal="left" vertical="center"/>
      <protection locked="0"/>
    </xf>
    <xf numFmtId="0" fontId="8" fillId="3" borderId="68" xfId="0" applyFont="1" applyFill="1" applyBorder="1" applyAlignment="1" applyProtection="1">
      <alignment horizontal="left" vertical="center"/>
      <protection locked="0"/>
    </xf>
    <xf numFmtId="0" fontId="20" fillId="2" borderId="81" xfId="0" applyFont="1" applyFill="1" applyBorder="1" applyAlignment="1">
      <alignment horizontal="center" vertical="center"/>
    </xf>
    <xf numFmtId="0" fontId="20" fillId="2" borderId="58" xfId="0" applyFont="1" applyFill="1" applyBorder="1" applyAlignment="1">
      <alignment horizontal="center" vertical="center"/>
    </xf>
    <xf numFmtId="0" fontId="20" fillId="2" borderId="34" xfId="0" applyFont="1" applyFill="1" applyBorder="1" applyAlignment="1">
      <alignment horizontal="center" vertical="center"/>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20" xfId="0" applyFont="1" applyFill="1" applyBorder="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11" xfId="0" applyFont="1" applyFill="1" applyBorder="1" applyAlignment="1" applyProtection="1">
      <alignment horizontal="left" vertical="top" wrapText="1"/>
      <protection locked="0"/>
    </xf>
    <xf numFmtId="0" fontId="7" fillId="3" borderId="30" xfId="0" applyFont="1" applyFill="1" applyBorder="1" applyAlignment="1" applyProtection="1">
      <alignment horizontal="left" vertical="top" wrapText="1"/>
      <protection locked="0"/>
    </xf>
    <xf numFmtId="0" fontId="7" fillId="2" borderId="317"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42"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9" fillId="3" borderId="30" xfId="0" applyFont="1" applyFill="1" applyBorder="1" applyAlignment="1">
      <alignment horizontal="center" vertical="center"/>
    </xf>
    <xf numFmtId="0" fontId="7" fillId="2" borderId="65"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14" fontId="8" fillId="3" borderId="0" xfId="0" applyNumberFormat="1" applyFont="1" applyFill="1" applyAlignment="1" applyProtection="1">
      <alignment horizontal="left" vertical="center"/>
      <protection locked="0"/>
    </xf>
    <xf numFmtId="0" fontId="8" fillId="3" borderId="0" xfId="0" applyFont="1" applyFill="1" applyAlignment="1" applyProtection="1">
      <alignment horizontal="left" vertical="center"/>
      <protection locked="0"/>
    </xf>
    <xf numFmtId="0" fontId="8" fillId="3" borderId="20" xfId="0" applyFont="1" applyFill="1" applyBorder="1" applyAlignment="1" applyProtection="1">
      <alignment horizontal="left" vertical="center"/>
      <protection locked="0"/>
    </xf>
    <xf numFmtId="0" fontId="8" fillId="3" borderId="7" xfId="0" applyFont="1" applyFill="1" applyBorder="1" applyAlignment="1">
      <alignment horizontal="left" vertical="center" shrinkToFit="1"/>
    </xf>
    <xf numFmtId="0" fontId="8" fillId="3" borderId="48" xfId="0" applyFont="1" applyFill="1" applyBorder="1" applyAlignment="1">
      <alignment horizontal="left" vertical="center" shrinkToFit="1"/>
    </xf>
    <xf numFmtId="0" fontId="17" fillId="3" borderId="6" xfId="0" applyFont="1" applyFill="1" applyBorder="1" applyAlignment="1" applyProtection="1">
      <alignment horizontal="left" vertical="center"/>
      <protection locked="0"/>
    </xf>
    <xf numFmtId="0" fontId="17" fillId="3" borderId="7" xfId="0" applyFont="1" applyFill="1" applyBorder="1" applyAlignment="1" applyProtection="1">
      <alignment horizontal="left" vertical="center"/>
      <protection locked="0"/>
    </xf>
    <xf numFmtId="0" fontId="17" fillId="3" borderId="48" xfId="0" applyFont="1" applyFill="1" applyBorder="1" applyAlignment="1" applyProtection="1">
      <alignment horizontal="left" vertical="center"/>
      <protection locked="0"/>
    </xf>
    <xf numFmtId="0" fontId="7" fillId="2" borderId="69" xfId="0" applyFont="1" applyFill="1" applyBorder="1" applyAlignment="1">
      <alignment horizontal="center" vertical="center" textRotation="255" wrapText="1"/>
    </xf>
    <xf numFmtId="0" fontId="7" fillId="2" borderId="1" xfId="0" applyFont="1" applyFill="1" applyBorder="1" applyAlignment="1">
      <alignment horizontal="center" vertical="center" textRotation="255" wrapText="1"/>
    </xf>
    <xf numFmtId="0" fontId="6" fillId="3" borderId="5" xfId="0" applyFont="1" applyFill="1" applyBorder="1" applyAlignment="1">
      <alignment horizontal="left" vertical="center"/>
    </xf>
    <xf numFmtId="0" fontId="6" fillId="3" borderId="0" xfId="0" applyFont="1" applyFill="1" applyAlignment="1">
      <alignment horizontal="left" vertical="center"/>
    </xf>
    <xf numFmtId="0" fontId="6" fillId="3" borderId="20" xfId="0" applyFont="1" applyFill="1" applyBorder="1" applyAlignment="1">
      <alignment horizontal="left" vertical="center"/>
    </xf>
    <xf numFmtId="49" fontId="8" fillId="3" borderId="1" xfId="0" applyNumberFormat="1" applyFont="1" applyFill="1" applyBorder="1" applyAlignment="1" applyProtection="1">
      <alignment horizontal="left" vertical="center"/>
      <protection locked="0"/>
    </xf>
    <xf numFmtId="0" fontId="7" fillId="2" borderId="303" xfId="0" applyFont="1" applyFill="1" applyBorder="1" applyAlignment="1">
      <alignment horizontal="center" vertical="center"/>
    </xf>
    <xf numFmtId="0" fontId="7" fillId="2" borderId="280" xfId="0" applyFont="1" applyFill="1" applyBorder="1" applyAlignment="1">
      <alignment horizontal="center" vertical="center"/>
    </xf>
    <xf numFmtId="0" fontId="7" fillId="2" borderId="304" xfId="0" applyFont="1" applyFill="1" applyBorder="1" applyAlignment="1">
      <alignment horizontal="center" vertical="center"/>
    </xf>
    <xf numFmtId="49" fontId="7" fillId="3" borderId="7" xfId="0" applyNumberFormat="1" applyFont="1" applyFill="1" applyBorder="1" applyAlignment="1">
      <alignment horizontal="left" vertical="center"/>
    </xf>
    <xf numFmtId="0" fontId="7" fillId="2" borderId="62"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16" fillId="2" borderId="238" xfId="0" applyFont="1" applyFill="1" applyBorder="1" applyAlignment="1">
      <alignment horizontal="center" vertical="center" wrapText="1" shrinkToFit="1"/>
    </xf>
    <xf numFmtId="0" fontId="16" fillId="2" borderId="7" xfId="0" applyFont="1" applyFill="1" applyBorder="1" applyAlignment="1">
      <alignment horizontal="center" vertical="center" wrapText="1" shrinkToFit="1"/>
    </xf>
    <xf numFmtId="0" fontId="16" fillId="2" borderId="239" xfId="0" applyFont="1" applyFill="1" applyBorder="1" applyAlignment="1">
      <alignment horizontal="center" vertical="center" wrapText="1" shrinkToFit="1"/>
    </xf>
    <xf numFmtId="0" fontId="16" fillId="2" borderId="241"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42" xfId="0" applyFont="1" applyFill="1" applyBorder="1" applyAlignment="1">
      <alignment horizontal="center" vertical="center" wrapText="1" shrinkToFit="1"/>
    </xf>
    <xf numFmtId="0" fontId="7" fillId="3" borderId="238"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xf numFmtId="0" fontId="7" fillId="3" borderId="48" xfId="0" applyFont="1" applyFill="1" applyBorder="1" applyAlignment="1" applyProtection="1">
      <alignment horizontal="left" vertical="center" wrapText="1"/>
      <protection locked="0"/>
    </xf>
    <xf numFmtId="0" fontId="7" fillId="3" borderId="241" xfId="0" applyFont="1" applyFill="1" applyBorder="1" applyAlignment="1" applyProtection="1">
      <alignment horizontal="left" vertical="center" wrapText="1"/>
      <protection locked="0"/>
    </xf>
    <xf numFmtId="0" fontId="7" fillId="3" borderId="27" xfId="0" applyFont="1" applyFill="1" applyBorder="1" applyAlignment="1" applyProtection="1">
      <alignment horizontal="left" vertical="center" wrapText="1"/>
      <protection locked="0"/>
    </xf>
    <xf numFmtId="0" fontId="7" fillId="3" borderId="32" xfId="0" applyFont="1" applyFill="1" applyBorder="1" applyAlignment="1" applyProtection="1">
      <alignment horizontal="left" vertical="center" wrapText="1"/>
      <protection locked="0"/>
    </xf>
    <xf numFmtId="0" fontId="9" fillId="2" borderId="27" xfId="0" applyFont="1" applyFill="1" applyBorder="1" applyAlignment="1">
      <alignment horizontal="left" vertical="top" wrapText="1"/>
    </xf>
    <xf numFmtId="0" fontId="9" fillId="2" borderId="32" xfId="0" applyFont="1" applyFill="1" applyBorder="1" applyAlignment="1">
      <alignment horizontal="left" vertical="top"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14" fontId="7" fillId="2" borderId="6" xfId="0" applyNumberFormat="1" applyFont="1" applyFill="1" applyBorder="1" applyAlignment="1" applyProtection="1">
      <alignment horizontal="center" vertical="center" shrinkToFit="1"/>
      <protection locked="0"/>
    </xf>
    <xf numFmtId="14" fontId="7" fillId="2" borderId="7" xfId="0" applyNumberFormat="1" applyFont="1" applyFill="1" applyBorder="1" applyAlignment="1" applyProtection="1">
      <alignment horizontal="center" vertical="center" shrinkToFit="1"/>
      <protection locked="0"/>
    </xf>
    <xf numFmtId="14" fontId="7" fillId="2" borderId="8" xfId="0" applyNumberFormat="1" applyFont="1" applyFill="1" applyBorder="1" applyAlignment="1" applyProtection="1">
      <alignment horizontal="center" vertical="center" shrinkToFit="1"/>
      <protection locked="0"/>
    </xf>
    <xf numFmtId="14" fontId="7" fillId="2" borderId="5" xfId="0" applyNumberFormat="1" applyFont="1" applyFill="1" applyBorder="1" applyAlignment="1" applyProtection="1">
      <alignment horizontal="center" vertical="center" shrinkToFit="1"/>
      <protection locked="0"/>
    </xf>
    <xf numFmtId="14" fontId="7" fillId="2" borderId="0" xfId="0" applyNumberFormat="1" applyFont="1" applyFill="1" applyAlignment="1" applyProtection="1">
      <alignment horizontal="center" vertical="center" shrinkToFit="1"/>
      <protection locked="0"/>
    </xf>
    <xf numFmtId="14" fontId="7" fillId="2" borderId="9" xfId="0" applyNumberFormat="1" applyFont="1" applyFill="1" applyBorder="1" applyAlignment="1" applyProtection="1">
      <alignment horizontal="center" vertical="center" shrinkToFit="1"/>
      <protection locked="0"/>
    </xf>
    <xf numFmtId="14" fontId="7" fillId="2" borderId="10" xfId="0" applyNumberFormat="1" applyFont="1" applyFill="1" applyBorder="1" applyAlignment="1" applyProtection="1">
      <alignment horizontal="center" vertical="center" shrinkToFit="1"/>
      <protection locked="0"/>
    </xf>
    <xf numFmtId="14" fontId="7" fillId="2" borderId="11" xfId="0" applyNumberFormat="1" applyFont="1" applyFill="1" applyBorder="1" applyAlignment="1" applyProtection="1">
      <alignment horizontal="center" vertical="center" shrinkToFit="1"/>
      <protection locked="0"/>
    </xf>
    <xf numFmtId="14" fontId="7" fillId="2" borderId="12" xfId="0" applyNumberFormat="1"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17" fillId="2" borderId="13" xfId="0" applyFont="1" applyFill="1" applyBorder="1" applyAlignment="1">
      <alignment horizontal="left" vertical="center" shrinkToFit="1"/>
    </xf>
    <xf numFmtId="0" fontId="17" fillId="2" borderId="67" xfId="0" applyFont="1" applyFill="1" applyBorder="1" applyAlignment="1">
      <alignment horizontal="left" vertical="center" shrinkToFit="1"/>
    </xf>
    <xf numFmtId="0" fontId="7" fillId="3" borderId="254" xfId="0" applyFont="1" applyFill="1" applyBorder="1" applyAlignment="1" applyProtection="1">
      <alignment horizontal="center" vertical="center"/>
      <protection locked="0"/>
    </xf>
    <xf numFmtId="0" fontId="7" fillId="3" borderId="255" xfId="0" applyFont="1" applyFill="1" applyBorder="1" applyAlignment="1" applyProtection="1">
      <alignment horizontal="center" vertical="center"/>
      <protection locked="0"/>
    </xf>
    <xf numFmtId="0" fontId="7" fillId="3" borderId="30" xfId="0" applyFont="1" applyFill="1" applyBorder="1" applyAlignment="1" applyProtection="1">
      <alignment horizontal="center" vertical="center"/>
      <protection locked="0"/>
    </xf>
    <xf numFmtId="0" fontId="7" fillId="2" borderId="233" xfId="0" applyFont="1" applyFill="1" applyBorder="1" applyAlignment="1">
      <alignment horizontal="center" vertical="center" wrapText="1"/>
    </xf>
    <xf numFmtId="0" fontId="7" fillId="2" borderId="231" xfId="0" applyFont="1" applyFill="1" applyBorder="1" applyAlignment="1">
      <alignment horizontal="center" vertical="center" wrapText="1"/>
    </xf>
    <xf numFmtId="0" fontId="7" fillId="2" borderId="229" xfId="0" applyFont="1" applyFill="1" applyBorder="1" applyAlignment="1">
      <alignment horizontal="left" vertical="center"/>
    </xf>
    <xf numFmtId="0" fontId="7" fillId="2" borderId="10" xfId="0" applyFont="1" applyFill="1" applyBorder="1" applyAlignment="1">
      <alignment horizontal="left" vertical="center" shrinkToFit="1"/>
    </xf>
    <xf numFmtId="0" fontId="7" fillId="2" borderId="11" xfId="0" applyFont="1" applyFill="1" applyBorder="1" applyAlignment="1">
      <alignment horizontal="left" vertical="center" shrinkToFit="1"/>
    </xf>
    <xf numFmtId="0" fontId="7" fillId="2" borderId="232" xfId="0" applyFont="1" applyFill="1" applyBorder="1" applyAlignment="1">
      <alignment horizontal="left" vertical="center" shrinkToFit="1"/>
    </xf>
    <xf numFmtId="0" fontId="7" fillId="2" borderId="266" xfId="0" applyFont="1" applyFill="1" applyBorder="1" applyAlignment="1">
      <alignment horizontal="center" vertical="center"/>
    </xf>
    <xf numFmtId="0" fontId="7" fillId="2" borderId="227" xfId="0" applyFont="1" applyFill="1" applyBorder="1" applyAlignment="1">
      <alignment horizontal="center" vertical="center"/>
    </xf>
    <xf numFmtId="0" fontId="7" fillId="2" borderId="267" xfId="0" applyFont="1" applyFill="1" applyBorder="1" applyAlignment="1">
      <alignment horizontal="center" vertical="center"/>
    </xf>
    <xf numFmtId="0" fontId="7" fillId="2" borderId="231" xfId="0" applyFont="1" applyFill="1" applyBorder="1" applyAlignment="1">
      <alignment horizontal="center" vertical="center"/>
    </xf>
    <xf numFmtId="0" fontId="7" fillId="2" borderId="268" xfId="0" applyFont="1" applyFill="1" applyBorder="1" applyAlignment="1">
      <alignment horizontal="left" vertical="center" shrinkToFit="1"/>
    </xf>
    <xf numFmtId="0" fontId="7" fillId="2" borderId="227" xfId="0" applyFont="1" applyFill="1" applyBorder="1" applyAlignment="1">
      <alignment horizontal="left" vertical="center" shrinkToFit="1"/>
    </xf>
    <xf numFmtId="0" fontId="7" fillId="2" borderId="228" xfId="0" applyFont="1" applyFill="1" applyBorder="1" applyAlignment="1">
      <alignment horizontal="left" vertical="center" shrinkToFit="1"/>
    </xf>
    <xf numFmtId="0" fontId="7" fillId="2" borderId="5" xfId="0" applyFont="1" applyFill="1" applyBorder="1" applyAlignment="1">
      <alignment horizontal="left" vertical="center" shrinkToFit="1"/>
    </xf>
    <xf numFmtId="0" fontId="7" fillId="2" borderId="0" xfId="0" applyFont="1" applyFill="1" applyAlignment="1">
      <alignment horizontal="left" vertical="center" shrinkToFit="1"/>
    </xf>
    <xf numFmtId="0" fontId="7" fillId="2" borderId="230" xfId="0" applyFont="1" applyFill="1" applyBorder="1" applyAlignment="1">
      <alignment horizontal="left" vertical="center" shrinkToFit="1"/>
    </xf>
    <xf numFmtId="0" fontId="8" fillId="2" borderId="6" xfId="0" applyFont="1" applyFill="1" applyBorder="1" applyAlignment="1">
      <alignment vertical="center" shrinkToFit="1"/>
    </xf>
    <xf numFmtId="0" fontId="8" fillId="2" borderId="7" xfId="0" applyFont="1" applyFill="1" applyBorder="1" applyAlignment="1">
      <alignment vertical="center" shrinkToFit="1"/>
    </xf>
    <xf numFmtId="0" fontId="8" fillId="2" borderId="8" xfId="0" applyFont="1" applyFill="1" applyBorder="1" applyAlignment="1">
      <alignment vertical="center" shrinkToFit="1"/>
    </xf>
    <xf numFmtId="0" fontId="8" fillId="2" borderId="10" xfId="0" applyFont="1" applyFill="1" applyBorder="1" applyAlignment="1">
      <alignment vertical="center" shrinkToFit="1"/>
    </xf>
    <xf numFmtId="0" fontId="8" fillId="2" borderId="11" xfId="0" applyFont="1" applyFill="1" applyBorder="1" applyAlignment="1">
      <alignment vertical="center" shrinkToFit="1"/>
    </xf>
    <xf numFmtId="0" fontId="8" fillId="2" borderId="12" xfId="0" applyFont="1" applyFill="1" applyBorder="1" applyAlignment="1">
      <alignment vertical="center" shrinkToFit="1"/>
    </xf>
    <xf numFmtId="0" fontId="8" fillId="2" borderId="229" xfId="0" applyFont="1" applyFill="1" applyBorder="1" applyAlignment="1">
      <alignment vertical="center" shrinkToFit="1"/>
    </xf>
    <xf numFmtId="0" fontId="8" fillId="2" borderId="232" xfId="0" applyFont="1" applyFill="1" applyBorder="1" applyAlignment="1">
      <alignment vertical="center" shrinkToFit="1"/>
    </xf>
    <xf numFmtId="0" fontId="7" fillId="2" borderId="234" xfId="0" applyFont="1" applyFill="1" applyBorder="1" applyAlignment="1">
      <alignment horizontal="center" vertical="center"/>
    </xf>
    <xf numFmtId="0" fontId="7" fillId="2" borderId="235" xfId="0" applyFont="1" applyFill="1" applyBorder="1" applyAlignment="1">
      <alignment horizontal="center" vertical="center"/>
    </xf>
    <xf numFmtId="0" fontId="7" fillId="2" borderId="263" xfId="0" applyFont="1" applyFill="1" applyBorder="1" applyAlignment="1">
      <alignment horizontal="center" vertical="center"/>
    </xf>
    <xf numFmtId="0" fontId="7" fillId="2" borderId="264" xfId="0" applyFont="1" applyFill="1" applyBorder="1" applyAlignment="1">
      <alignment horizontal="center" vertical="center"/>
    </xf>
    <xf numFmtId="0" fontId="7" fillId="2" borderId="236" xfId="0" applyFont="1" applyFill="1" applyBorder="1" applyAlignment="1">
      <alignment horizontal="center" vertical="center"/>
    </xf>
    <xf numFmtId="0" fontId="7" fillId="2" borderId="236" xfId="0" applyFont="1" applyFill="1" applyBorder="1" applyAlignment="1">
      <alignment horizontal="left" vertical="center"/>
    </xf>
    <xf numFmtId="0" fontId="7" fillId="2" borderId="233" xfId="0" applyFont="1" applyFill="1" applyBorder="1" applyAlignment="1">
      <alignment horizontal="center" vertical="center"/>
    </xf>
    <xf numFmtId="0" fontId="7" fillId="2" borderId="10" xfId="0" applyFont="1" applyFill="1" applyBorder="1" applyAlignment="1">
      <alignment horizontal="center" vertical="center"/>
    </xf>
    <xf numFmtId="0" fontId="18" fillId="2" borderId="29"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38" xfId="0" applyFont="1" applyFill="1" applyBorder="1" applyAlignment="1">
      <alignment horizontal="center" vertical="center"/>
    </xf>
    <xf numFmtId="0" fontId="18" fillId="2" borderId="49" xfId="0" applyFont="1" applyFill="1" applyBorder="1" applyAlignment="1">
      <alignment horizontal="center" vertical="center"/>
    </xf>
    <xf numFmtId="0" fontId="18" fillId="2" borderId="300" xfId="0" applyFont="1" applyFill="1" applyBorder="1" applyAlignment="1">
      <alignment horizontal="center" vertical="center"/>
    </xf>
    <xf numFmtId="0" fontId="18" fillId="2" borderId="283" xfId="0" applyFont="1" applyFill="1" applyBorder="1" applyAlignment="1">
      <alignment horizontal="center" vertical="center"/>
    </xf>
    <xf numFmtId="0" fontId="18" fillId="2" borderId="282" xfId="0" applyFont="1" applyFill="1" applyBorder="1" applyAlignment="1">
      <alignment horizontal="center" vertical="center"/>
    </xf>
    <xf numFmtId="0" fontId="18" fillId="2" borderId="296" xfId="0" applyFont="1" applyFill="1" applyBorder="1" applyAlignment="1">
      <alignment horizontal="center" vertical="center"/>
    </xf>
    <xf numFmtId="0" fontId="9" fillId="2" borderId="236" xfId="0" applyFont="1" applyFill="1" applyBorder="1" applyAlignment="1">
      <alignment horizontal="center" vertical="center" wrapText="1"/>
    </xf>
    <xf numFmtId="0" fontId="7" fillId="2" borderId="265" xfId="0" applyFont="1" applyFill="1" applyBorder="1" applyAlignment="1">
      <alignment horizontal="left" vertical="center"/>
    </xf>
    <xf numFmtId="0" fontId="18" fillId="2" borderId="40" xfId="0" applyFont="1" applyFill="1" applyBorder="1" applyAlignment="1">
      <alignment horizontal="center" vertical="center"/>
    </xf>
    <xf numFmtId="0" fontId="18" fillId="2" borderId="42" xfId="0" applyFont="1" applyFill="1" applyBorder="1" applyAlignment="1">
      <alignment horizontal="center" vertical="center"/>
    </xf>
    <xf numFmtId="0" fontId="18" fillId="2" borderId="281" xfId="0" applyFont="1" applyFill="1" applyBorder="1" applyAlignment="1">
      <alignment horizontal="center" vertical="center"/>
    </xf>
    <xf numFmtId="0" fontId="18" fillId="2" borderId="269" xfId="0" applyFont="1" applyFill="1" applyBorder="1" applyAlignment="1">
      <alignment horizontal="center" vertical="center"/>
    </xf>
    <xf numFmtId="0" fontId="18" fillId="2" borderId="270" xfId="0" applyFont="1" applyFill="1" applyBorder="1" applyAlignment="1">
      <alignment horizontal="center" vertical="center"/>
    </xf>
    <xf numFmtId="0" fontId="18" fillId="2" borderId="174" xfId="0" applyFont="1" applyFill="1" applyBorder="1" applyAlignment="1">
      <alignment horizontal="center" vertical="center"/>
    </xf>
    <xf numFmtId="0" fontId="18" fillId="2" borderId="175"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43" xfId="0" applyFont="1" applyFill="1" applyBorder="1" applyAlignment="1">
      <alignment horizontal="center" vertical="center"/>
    </xf>
    <xf numFmtId="0" fontId="18" fillId="2" borderId="73"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275"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3" fontId="18" fillId="2" borderId="17" xfId="0" applyNumberFormat="1" applyFont="1" applyFill="1" applyBorder="1" applyAlignment="1">
      <alignment horizontal="right" vertical="center"/>
    </xf>
    <xf numFmtId="3" fontId="18" fillId="2" borderId="3" xfId="0" applyNumberFormat="1" applyFont="1" applyFill="1" applyBorder="1" applyAlignment="1">
      <alignment horizontal="right" vertical="center"/>
    </xf>
    <xf numFmtId="0" fontId="18" fillId="3" borderId="285" xfId="0" applyFont="1" applyFill="1" applyBorder="1" applyAlignment="1" applyProtection="1">
      <alignment horizontal="center" vertical="center"/>
      <protection locked="0"/>
    </xf>
    <xf numFmtId="0" fontId="18" fillId="3" borderId="288" xfId="0" applyFont="1" applyFill="1" applyBorder="1" applyAlignment="1" applyProtection="1">
      <alignment horizontal="center" vertical="center"/>
      <protection locked="0"/>
    </xf>
    <xf numFmtId="0" fontId="18" fillId="3" borderId="297" xfId="0" applyFont="1" applyFill="1" applyBorder="1" applyAlignment="1" applyProtection="1">
      <alignment horizontal="center" vertical="center"/>
      <protection locked="0"/>
    </xf>
    <xf numFmtId="0" fontId="18" fillId="3" borderId="298" xfId="0" applyFont="1" applyFill="1" applyBorder="1" applyAlignment="1" applyProtection="1">
      <alignment horizontal="center" vertical="center"/>
      <protection locked="0"/>
    </xf>
    <xf numFmtId="0" fontId="18" fillId="2" borderId="301" xfId="0" applyFont="1" applyFill="1" applyBorder="1" applyAlignment="1">
      <alignment horizontal="center" vertical="center"/>
    </xf>
    <xf numFmtId="0" fontId="18" fillId="2" borderId="286" xfId="0" applyFont="1" applyFill="1" applyBorder="1" applyAlignment="1">
      <alignment horizontal="center" vertical="center"/>
    </xf>
    <xf numFmtId="0" fontId="18" fillId="2" borderId="56" xfId="0" applyFont="1" applyFill="1" applyBorder="1" applyAlignment="1">
      <alignment horizontal="center" vertical="center"/>
    </xf>
    <xf numFmtId="0" fontId="18" fillId="2" borderId="289" xfId="0" applyFont="1" applyFill="1" applyBorder="1" applyAlignment="1">
      <alignment horizontal="center" vertical="center"/>
    </xf>
    <xf numFmtId="0" fontId="18" fillId="2" borderId="2" xfId="0" applyFont="1" applyFill="1" applyBorder="1" applyAlignment="1">
      <alignment horizontal="left" vertical="center"/>
    </xf>
    <xf numFmtId="0" fontId="18" fillId="2" borderId="3" xfId="0" applyFont="1" applyFill="1" applyBorder="1" applyAlignment="1">
      <alignment horizontal="left" vertical="center"/>
    </xf>
    <xf numFmtId="0" fontId="18" fillId="2" borderId="63" xfId="0" applyFont="1" applyFill="1" applyBorder="1" applyAlignment="1">
      <alignment horizontal="center" vertical="center" textRotation="255"/>
    </xf>
    <xf numFmtId="0" fontId="18" fillId="2" borderId="82" xfId="0" applyFont="1" applyFill="1" applyBorder="1" applyAlignment="1">
      <alignment horizontal="center" vertical="center" textRotation="255"/>
    </xf>
    <xf numFmtId="0" fontId="18" fillId="2" borderId="73" xfId="0" applyFont="1" applyFill="1" applyBorder="1" applyAlignment="1">
      <alignment horizontal="left" vertical="center"/>
    </xf>
    <xf numFmtId="0" fontId="18" fillId="2" borderId="17" xfId="0" applyFont="1" applyFill="1" applyBorder="1" applyAlignment="1">
      <alignment horizontal="left" vertical="center"/>
    </xf>
    <xf numFmtId="0" fontId="18" fillId="3" borderId="284" xfId="0" applyFont="1" applyFill="1" applyBorder="1" applyAlignment="1" applyProtection="1">
      <alignment horizontal="center" vertical="center"/>
      <protection locked="0"/>
    </xf>
    <xf numFmtId="0" fontId="18" fillId="3" borderId="287" xfId="0" applyFont="1" applyFill="1" applyBorder="1" applyAlignment="1" applyProtection="1">
      <alignment horizontal="center" vertical="center"/>
      <protection locked="0"/>
    </xf>
    <xf numFmtId="41" fontId="18" fillId="2" borderId="17" xfId="0" applyNumberFormat="1" applyFont="1" applyFill="1" applyBorder="1" applyAlignment="1">
      <alignment horizontal="right" vertical="center"/>
    </xf>
    <xf numFmtId="41" fontId="18" fillId="2" borderId="72" xfId="0" applyNumberFormat="1" applyFont="1" applyFill="1" applyBorder="1" applyAlignment="1">
      <alignment horizontal="right" vertical="center"/>
    </xf>
    <xf numFmtId="41" fontId="18" fillId="2" borderId="3" xfId="0" applyNumberFormat="1" applyFont="1" applyFill="1" applyBorder="1" applyAlignment="1">
      <alignment horizontal="right" vertical="center"/>
    </xf>
    <xf numFmtId="41" fontId="18" fillId="2" borderId="83" xfId="0" applyNumberFormat="1" applyFont="1" applyFill="1" applyBorder="1" applyAlignment="1">
      <alignment horizontal="right" vertical="center"/>
    </xf>
    <xf numFmtId="0" fontId="18" fillId="2" borderId="4" xfId="0" applyFont="1" applyFill="1" applyBorder="1" applyAlignment="1">
      <alignment horizontal="left" vertical="center"/>
    </xf>
    <xf numFmtId="0" fontId="18" fillId="2" borderId="276" xfId="0" applyFont="1" applyFill="1" applyBorder="1" applyAlignment="1">
      <alignment horizontal="left" vertical="center"/>
    </xf>
    <xf numFmtId="0" fontId="18" fillId="2" borderId="277" xfId="0" applyFont="1" applyFill="1" applyBorder="1" applyAlignment="1">
      <alignment horizontal="left" vertical="center"/>
    </xf>
    <xf numFmtId="0" fontId="18" fillId="2" borderId="19" xfId="0" applyFont="1" applyFill="1" applyBorder="1" applyAlignment="1">
      <alignment horizontal="center" vertical="center" textRotation="255"/>
    </xf>
    <xf numFmtId="0" fontId="18" fillId="2" borderId="302" xfId="0" applyFont="1" applyFill="1" applyBorder="1" applyAlignment="1">
      <alignment horizontal="center" vertical="center"/>
    </xf>
    <xf numFmtId="0" fontId="18" fillId="2" borderId="292" xfId="0" applyFont="1" applyFill="1" applyBorder="1" applyAlignment="1">
      <alignment horizontal="center" vertical="center"/>
    </xf>
    <xf numFmtId="41" fontId="18" fillId="2" borderId="277" xfId="0" applyNumberFormat="1" applyFont="1" applyFill="1" applyBorder="1" applyAlignment="1">
      <alignment horizontal="right" vertical="center"/>
    </xf>
    <xf numFmtId="41" fontId="18" fillId="2" borderId="279" xfId="0" applyNumberFormat="1" applyFont="1" applyFill="1" applyBorder="1" applyAlignment="1">
      <alignment horizontal="right" vertical="center"/>
    </xf>
    <xf numFmtId="0" fontId="18" fillId="2" borderId="75"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62"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273" xfId="0" applyFont="1" applyFill="1" applyBorder="1" applyAlignment="1">
      <alignment horizontal="center" vertical="center"/>
    </xf>
    <xf numFmtId="0" fontId="18" fillId="2" borderId="271" xfId="0" applyFont="1" applyFill="1" applyBorder="1" applyAlignment="1">
      <alignment horizontal="center" vertical="center"/>
    </xf>
    <xf numFmtId="0" fontId="18" fillId="2" borderId="293" xfId="0" applyFont="1" applyFill="1" applyBorder="1" applyAlignment="1">
      <alignment horizontal="center" vertical="center"/>
    </xf>
    <xf numFmtId="0" fontId="18" fillId="2" borderId="295" xfId="0" applyFont="1" applyFill="1" applyBorder="1" applyAlignment="1">
      <alignment horizontal="center" vertical="center"/>
    </xf>
    <xf numFmtId="0" fontId="18" fillId="2" borderId="294" xfId="0" applyFont="1" applyFill="1" applyBorder="1" applyAlignment="1">
      <alignment horizontal="center" vertical="center"/>
    </xf>
    <xf numFmtId="0" fontId="18" fillId="2" borderId="241" xfId="0" applyFont="1" applyFill="1" applyBorder="1" applyAlignment="1">
      <alignment horizontal="center" vertical="center"/>
    </xf>
    <xf numFmtId="0" fontId="18" fillId="2" borderId="76" xfId="0" applyFont="1" applyFill="1" applyBorder="1" applyAlignment="1">
      <alignment horizontal="center" vertical="center"/>
    </xf>
    <xf numFmtId="0" fontId="18" fillId="2" borderId="274" xfId="0" applyFont="1" applyFill="1" applyBorder="1" applyAlignment="1">
      <alignment horizontal="center" vertical="center"/>
    </xf>
    <xf numFmtId="0" fontId="18" fillId="2" borderId="26" xfId="0" applyFont="1" applyFill="1" applyBorder="1" applyAlignment="1">
      <alignment horizontal="center" vertical="center"/>
    </xf>
    <xf numFmtId="0" fontId="18" fillId="2" borderId="272" xfId="0" applyFont="1" applyFill="1" applyBorder="1" applyAlignment="1">
      <alignment horizontal="center" vertical="center"/>
    </xf>
    <xf numFmtId="41" fontId="18" fillId="2" borderId="18" xfId="0" applyNumberFormat="1" applyFont="1" applyFill="1" applyBorder="1" applyAlignment="1">
      <alignment horizontal="right" vertical="center"/>
    </xf>
    <xf numFmtId="41" fontId="18" fillId="2" borderId="64" xfId="0" applyNumberFormat="1" applyFont="1" applyFill="1" applyBorder="1" applyAlignment="1">
      <alignment horizontal="right" vertical="center"/>
    </xf>
    <xf numFmtId="41" fontId="18" fillId="2" borderId="27" xfId="0" applyNumberFormat="1" applyFont="1" applyFill="1" applyBorder="1" applyAlignment="1">
      <alignment horizontal="right" vertical="center"/>
    </xf>
    <xf numFmtId="41" fontId="18" fillId="2" borderId="32" xfId="0" applyNumberFormat="1" applyFont="1" applyFill="1" applyBorder="1" applyAlignment="1">
      <alignment horizontal="right" vertical="center"/>
    </xf>
    <xf numFmtId="0" fontId="18" fillId="2" borderId="276" xfId="0" applyFont="1" applyFill="1" applyBorder="1" applyAlignment="1">
      <alignment horizontal="center" vertical="center"/>
    </xf>
    <xf numFmtId="0" fontId="18" fillId="2" borderId="277" xfId="0" applyFont="1" applyFill="1" applyBorder="1" applyAlignment="1">
      <alignment horizontal="center" vertical="center"/>
    </xf>
    <xf numFmtId="0" fontId="18" fillId="2" borderId="278" xfId="0" applyFont="1" applyFill="1" applyBorder="1" applyAlignment="1">
      <alignment horizontal="center" vertical="center"/>
    </xf>
    <xf numFmtId="3" fontId="18" fillId="2" borderId="277" xfId="0" applyNumberFormat="1" applyFont="1" applyFill="1" applyBorder="1" applyAlignment="1">
      <alignment horizontal="right" vertical="center"/>
    </xf>
    <xf numFmtId="0" fontId="18" fillId="3" borderId="290" xfId="0" applyFont="1" applyFill="1" applyBorder="1" applyAlignment="1" applyProtection="1">
      <alignment horizontal="center" vertical="center"/>
      <protection locked="0"/>
    </xf>
    <xf numFmtId="0" fontId="18" fillId="3" borderId="291" xfId="0" applyFont="1" applyFill="1" applyBorder="1" applyAlignment="1" applyProtection="1">
      <alignment horizontal="center" vertical="center"/>
      <protection locked="0"/>
    </xf>
    <xf numFmtId="0" fontId="18" fillId="3" borderId="299" xfId="0" applyFont="1" applyFill="1" applyBorder="1" applyAlignment="1" applyProtection="1">
      <alignment horizontal="center" vertical="center"/>
      <protection locked="0"/>
    </xf>
    <xf numFmtId="0" fontId="8" fillId="2" borderId="40" xfId="3" applyFont="1" applyFill="1" applyBorder="1" applyAlignment="1">
      <alignment horizontal="center" vertical="center"/>
    </xf>
    <xf numFmtId="0" fontId="8" fillId="2" borderId="29" xfId="3" applyFont="1" applyFill="1" applyBorder="1" applyAlignment="1">
      <alignment horizontal="center" vertical="center"/>
    </xf>
    <xf numFmtId="0" fontId="8" fillId="2" borderId="35" xfId="3" applyFont="1" applyFill="1" applyBorder="1" applyAlignment="1">
      <alignment horizontal="center" vertical="center"/>
    </xf>
    <xf numFmtId="0" fontId="8" fillId="2" borderId="19" xfId="3" applyFont="1" applyFill="1" applyBorder="1" applyAlignment="1">
      <alignment horizontal="center" vertical="center"/>
    </xf>
    <xf numFmtId="0" fontId="8" fillId="2" borderId="0" xfId="3" applyFont="1" applyFill="1" applyAlignment="1">
      <alignment horizontal="center" vertical="center"/>
    </xf>
    <xf numFmtId="0" fontId="8" fillId="2" borderId="20" xfId="3" applyFont="1" applyFill="1" applyBorder="1" applyAlignment="1">
      <alignment horizontal="center" vertical="center"/>
    </xf>
    <xf numFmtId="0" fontId="8" fillId="2" borderId="62" xfId="3" applyFont="1" applyFill="1" applyBorder="1" applyAlignment="1">
      <alignment horizontal="center" vertical="center"/>
    </xf>
    <xf numFmtId="0" fontId="8" fillId="2" borderId="27" xfId="3" applyFont="1" applyFill="1" applyBorder="1" applyAlignment="1">
      <alignment horizontal="center" vertical="center"/>
    </xf>
    <xf numFmtId="0" fontId="8" fillId="2" borderId="32" xfId="3" applyFont="1" applyFill="1" applyBorder="1" applyAlignment="1">
      <alignment horizontal="center" vertical="center"/>
    </xf>
    <xf numFmtId="0" fontId="7" fillId="2" borderId="41" xfId="3" applyFont="1" applyFill="1" applyBorder="1" applyAlignment="1">
      <alignment horizontal="center" vertical="center"/>
    </xf>
    <xf numFmtId="0" fontId="7" fillId="2" borderId="7" xfId="3" applyFont="1" applyFill="1" applyBorder="1" applyAlignment="1">
      <alignment horizontal="center" vertical="center"/>
    </xf>
    <xf numFmtId="0" fontId="7" fillId="2" borderId="19" xfId="3" applyFont="1" applyFill="1" applyBorder="1" applyAlignment="1">
      <alignment horizontal="center" vertical="center"/>
    </xf>
    <xf numFmtId="0" fontId="7" fillId="2" borderId="0" xfId="3" applyFont="1" applyFill="1" applyAlignment="1">
      <alignment horizontal="center" vertical="center"/>
    </xf>
    <xf numFmtId="0" fontId="7" fillId="2" borderId="62" xfId="3" applyFont="1" applyFill="1" applyBorder="1" applyAlignment="1">
      <alignment horizontal="center" vertical="center"/>
    </xf>
    <xf numFmtId="0" fontId="7" fillId="2" borderId="27" xfId="3" applyFont="1" applyFill="1" applyBorder="1" applyAlignment="1">
      <alignment horizontal="center" vertical="center"/>
    </xf>
    <xf numFmtId="187" fontId="7" fillId="2" borderId="6" xfId="3" applyNumberFormat="1" applyFont="1" applyFill="1" applyBorder="1" applyAlignment="1">
      <alignment horizontal="center" vertical="center"/>
    </xf>
    <xf numFmtId="187" fontId="7" fillId="2" borderId="7" xfId="3" applyNumberFormat="1" applyFont="1" applyFill="1" applyBorder="1" applyAlignment="1">
      <alignment horizontal="center" vertical="center"/>
    </xf>
    <xf numFmtId="187" fontId="7" fillId="2" borderId="5" xfId="3" applyNumberFormat="1" applyFont="1" applyFill="1" applyBorder="1" applyAlignment="1">
      <alignment horizontal="center" vertical="center"/>
    </xf>
    <xf numFmtId="187" fontId="7" fillId="2" borderId="0" xfId="3" applyNumberFormat="1" applyFont="1" applyFill="1" applyAlignment="1">
      <alignment horizontal="center" vertical="center"/>
    </xf>
    <xf numFmtId="187" fontId="7" fillId="2" borderId="26" xfId="3" applyNumberFormat="1" applyFont="1" applyFill="1" applyBorder="1" applyAlignment="1">
      <alignment horizontal="center" vertical="center"/>
    </xf>
    <xf numFmtId="187" fontId="7" fillId="2" borderId="27" xfId="3" applyNumberFormat="1" applyFont="1" applyFill="1" applyBorder="1" applyAlignment="1">
      <alignment horizontal="center" vertical="center"/>
    </xf>
    <xf numFmtId="187" fontId="7" fillId="2" borderId="48" xfId="3" applyNumberFormat="1" applyFont="1" applyFill="1" applyBorder="1" applyAlignment="1">
      <alignment horizontal="center" vertical="center"/>
    </xf>
    <xf numFmtId="187" fontId="7" fillId="2" borderId="20" xfId="3" applyNumberFormat="1" applyFont="1" applyFill="1" applyBorder="1" applyAlignment="1">
      <alignment horizontal="center" vertical="center"/>
    </xf>
    <xf numFmtId="187" fontId="7" fillId="2" borderId="32" xfId="3" applyNumberFormat="1" applyFont="1" applyFill="1" applyBorder="1" applyAlignment="1">
      <alignment horizontal="center" vertical="center"/>
    </xf>
    <xf numFmtId="0" fontId="21" fillId="2" borderId="0" xfId="3" applyFont="1" applyFill="1" applyAlignment="1">
      <alignment horizontal="center" vertical="center"/>
    </xf>
    <xf numFmtId="0" fontId="7" fillId="2" borderId="0" xfId="0" applyFont="1" applyFill="1" applyAlignment="1">
      <alignment horizontal="left" vertical="center"/>
    </xf>
    <xf numFmtId="0" fontId="7" fillId="2" borderId="40" xfId="3" applyFont="1" applyFill="1" applyBorder="1" applyAlignment="1">
      <alignment horizontal="center" vertical="center"/>
    </xf>
    <xf numFmtId="0" fontId="7" fillId="2" borderId="29" xfId="3" applyFont="1" applyFill="1" applyBorder="1" applyAlignment="1">
      <alignment horizontal="center" vertical="center"/>
    </xf>
    <xf numFmtId="0" fontId="7" fillId="2" borderId="174" xfId="3" applyFont="1" applyFill="1" applyBorder="1" applyAlignment="1">
      <alignment horizontal="left" vertical="center"/>
    </xf>
    <xf numFmtId="0" fontId="7" fillId="2" borderId="29" xfId="3" applyFont="1" applyFill="1" applyBorder="1" applyAlignment="1">
      <alignment horizontal="left" vertical="center"/>
    </xf>
    <xf numFmtId="0" fontId="7" fillId="2" borderId="35" xfId="3" applyFont="1" applyFill="1" applyBorder="1" applyAlignment="1">
      <alignment horizontal="left" vertical="center"/>
    </xf>
    <xf numFmtId="0" fontId="7" fillId="2" borderId="5" xfId="3" applyFont="1" applyFill="1" applyBorder="1" applyAlignment="1">
      <alignment horizontal="left" vertical="center"/>
    </xf>
    <xf numFmtId="0" fontId="7" fillId="2" borderId="0" xfId="3" applyFont="1" applyFill="1" applyAlignment="1">
      <alignment horizontal="left" vertical="center"/>
    </xf>
    <xf numFmtId="0" fontId="7" fillId="2" borderId="20" xfId="3" applyFont="1" applyFill="1" applyBorder="1" applyAlignment="1">
      <alignment horizontal="left" vertical="center"/>
    </xf>
    <xf numFmtId="0" fontId="9" fillId="2" borderId="41"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0" xfId="3" applyFont="1" applyFill="1" applyAlignment="1">
      <alignment horizontal="center" vertical="center" wrapText="1"/>
    </xf>
    <xf numFmtId="0" fontId="9" fillId="2" borderId="9" xfId="3" applyFont="1" applyFill="1" applyBorder="1" applyAlignment="1">
      <alignment horizontal="center" vertical="center" wrapText="1"/>
    </xf>
    <xf numFmtId="0" fontId="9" fillId="2" borderId="62" xfId="3" applyFont="1" applyFill="1" applyBorder="1" applyAlignment="1">
      <alignment horizontal="center" vertical="center" wrapText="1"/>
    </xf>
    <xf numFmtId="0" fontId="9" fillId="2" borderId="27" xfId="3" applyFont="1" applyFill="1" applyBorder="1" applyAlignment="1">
      <alignment horizontal="center" vertical="center" wrapText="1"/>
    </xf>
    <xf numFmtId="0" fontId="9" fillId="2" borderId="33" xfId="3" applyFont="1" applyFill="1" applyBorder="1" applyAlignment="1">
      <alignment horizontal="center" vertical="center" wrapText="1"/>
    </xf>
    <xf numFmtId="0" fontId="7" fillId="2" borderId="175" xfId="3" applyFont="1" applyFill="1" applyBorder="1" applyAlignment="1">
      <alignment horizontal="center" vertical="center"/>
    </xf>
    <xf numFmtId="0" fontId="7" fillId="2" borderId="9" xfId="3" applyFont="1" applyFill="1" applyBorder="1" applyAlignment="1">
      <alignment horizontal="center" vertical="center"/>
    </xf>
    <xf numFmtId="0" fontId="7" fillId="2" borderId="65" xfId="3" applyFont="1" applyFill="1" applyBorder="1" applyAlignment="1">
      <alignment horizontal="center" vertical="center"/>
    </xf>
    <xf numFmtId="0" fontId="7" fillId="2" borderId="11" xfId="3" applyFont="1" applyFill="1" applyBorder="1" applyAlignment="1">
      <alignment horizontal="center" vertical="center"/>
    </xf>
    <xf numFmtId="0" fontId="7" fillId="2" borderId="12" xfId="3" applyFont="1" applyFill="1" applyBorder="1" applyAlignment="1">
      <alignment horizontal="center" vertical="center"/>
    </xf>
    <xf numFmtId="0" fontId="7" fillId="2" borderId="10" xfId="3" applyFont="1" applyFill="1" applyBorder="1" applyAlignment="1">
      <alignment horizontal="left" vertical="center"/>
    </xf>
    <xf numFmtId="0" fontId="7" fillId="2" borderId="11" xfId="3" applyFont="1" applyFill="1" applyBorder="1" applyAlignment="1">
      <alignment horizontal="left" vertical="center"/>
    </xf>
    <xf numFmtId="0" fontId="7" fillId="2" borderId="30" xfId="3" applyFont="1" applyFill="1" applyBorder="1" applyAlignment="1">
      <alignment horizontal="left" vertical="center"/>
    </xf>
    <xf numFmtId="0" fontId="7" fillId="2" borderId="6" xfId="3" applyFont="1" applyFill="1" applyBorder="1" applyAlignment="1">
      <alignment horizontal="center" vertical="center"/>
    </xf>
    <xf numFmtId="0" fontId="7" fillId="2" borderId="8"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26" xfId="3" applyFont="1" applyFill="1" applyBorder="1" applyAlignment="1">
      <alignment horizontal="center" vertical="center"/>
    </xf>
    <xf numFmtId="0" fontId="7" fillId="2" borderId="33" xfId="3" applyFont="1" applyFill="1" applyBorder="1" applyAlignment="1">
      <alignment horizontal="center" vertical="center"/>
    </xf>
    <xf numFmtId="0" fontId="8" fillId="2" borderId="6" xfId="3" applyFont="1" applyFill="1" applyBorder="1" applyAlignment="1" applyProtection="1">
      <alignment horizontal="center" vertical="center"/>
      <protection locked="0"/>
    </xf>
    <xf numFmtId="0" fontId="8" fillId="2" borderId="7" xfId="3" applyFont="1" applyFill="1" applyBorder="1" applyAlignment="1" applyProtection="1">
      <alignment horizontal="center" vertical="center"/>
      <protection locked="0"/>
    </xf>
    <xf numFmtId="0" fontId="8" fillId="2" borderId="8" xfId="3" applyFont="1" applyFill="1" applyBorder="1" applyAlignment="1" applyProtection="1">
      <alignment horizontal="center" vertical="center"/>
      <protection locked="0"/>
    </xf>
    <xf numFmtId="0" fontId="8" fillId="2" borderId="5" xfId="3" applyFont="1" applyFill="1" applyBorder="1" applyAlignment="1" applyProtection="1">
      <alignment horizontal="center" vertical="center"/>
      <protection locked="0"/>
    </xf>
    <xf numFmtId="0" fontId="8" fillId="2" borderId="0" xfId="3" applyFont="1" applyFill="1" applyAlignment="1" applyProtection="1">
      <alignment horizontal="center" vertical="center"/>
      <protection locked="0"/>
    </xf>
    <xf numFmtId="0" fontId="8" fillId="2" borderId="9" xfId="3" applyFont="1" applyFill="1" applyBorder="1" applyAlignment="1" applyProtection="1">
      <alignment horizontal="center" vertical="center"/>
      <protection locked="0"/>
    </xf>
    <xf numFmtId="0" fontId="8" fillId="2" borderId="26" xfId="3" applyFont="1" applyFill="1" applyBorder="1" applyAlignment="1" applyProtection="1">
      <alignment horizontal="center" vertical="center"/>
      <protection locked="0"/>
    </xf>
    <xf numFmtId="0" fontId="8" fillId="2" borderId="27" xfId="3" applyFont="1" applyFill="1" applyBorder="1" applyAlignment="1" applyProtection="1">
      <alignment horizontal="center" vertical="center"/>
      <protection locked="0"/>
    </xf>
    <xf numFmtId="0" fontId="8" fillId="2" borderId="33" xfId="3" applyFont="1" applyFill="1" applyBorder="1" applyAlignment="1" applyProtection="1">
      <alignment horizontal="center" vertical="center"/>
      <protection locked="0"/>
    </xf>
    <xf numFmtId="0" fontId="8" fillId="2" borderId="6" xfId="3" applyFont="1" applyFill="1" applyBorder="1" applyAlignment="1">
      <alignment horizontal="center" vertical="center"/>
    </xf>
    <xf numFmtId="0" fontId="8" fillId="2" borderId="7" xfId="3" applyFont="1" applyFill="1" applyBorder="1" applyAlignment="1">
      <alignment horizontal="center" vertical="center"/>
    </xf>
    <xf numFmtId="0" fontId="8" fillId="2" borderId="8" xfId="3" applyFont="1" applyFill="1" applyBorder="1" applyAlignment="1">
      <alignment horizontal="center" vertical="center"/>
    </xf>
    <xf numFmtId="0" fontId="8" fillId="2" borderId="5" xfId="3" applyFont="1" applyFill="1" applyBorder="1" applyAlignment="1">
      <alignment horizontal="center" vertical="center"/>
    </xf>
    <xf numFmtId="0" fontId="8" fillId="2" borderId="9" xfId="3" applyFont="1" applyFill="1" applyBorder="1" applyAlignment="1">
      <alignment horizontal="center" vertical="center"/>
    </xf>
    <xf numFmtId="0" fontId="8" fillId="2" borderId="26" xfId="3" applyFont="1" applyFill="1" applyBorder="1" applyAlignment="1">
      <alignment horizontal="center" vertical="center"/>
    </xf>
    <xf numFmtId="0" fontId="8" fillId="2" borderId="33" xfId="3" applyFont="1" applyFill="1" applyBorder="1" applyAlignment="1">
      <alignment horizontal="center" vertical="center"/>
    </xf>
    <xf numFmtId="0" fontId="8" fillId="2" borderId="6" xfId="3" applyFont="1" applyFill="1" applyBorder="1" applyAlignment="1">
      <alignment horizontal="left" vertical="center"/>
    </xf>
    <xf numFmtId="0" fontId="8" fillId="2" borderId="7" xfId="3" applyFont="1" applyFill="1" applyBorder="1" applyAlignment="1">
      <alignment horizontal="left" vertical="center"/>
    </xf>
    <xf numFmtId="0" fontId="8" fillId="2" borderId="48" xfId="3" applyFont="1" applyFill="1" applyBorder="1" applyAlignment="1">
      <alignment horizontal="left" vertical="center"/>
    </xf>
    <xf numFmtId="0" fontId="8" fillId="2" borderId="5" xfId="3" applyFont="1" applyFill="1" applyBorder="1" applyAlignment="1">
      <alignment horizontal="left" vertical="center"/>
    </xf>
    <xf numFmtId="0" fontId="8" fillId="2" borderId="0" xfId="3" applyFont="1" applyFill="1" applyAlignment="1">
      <alignment horizontal="left" vertical="center"/>
    </xf>
    <xf numFmtId="0" fontId="8" fillId="2" borderId="20" xfId="3" applyFont="1" applyFill="1" applyBorder="1" applyAlignment="1">
      <alignment horizontal="left" vertical="center"/>
    </xf>
    <xf numFmtId="0" fontId="8" fillId="2" borderId="26" xfId="3" applyFont="1" applyFill="1" applyBorder="1" applyAlignment="1">
      <alignment horizontal="left" vertical="center"/>
    </xf>
    <xf numFmtId="0" fontId="8" fillId="2" borderId="27" xfId="3" applyFont="1" applyFill="1" applyBorder="1" applyAlignment="1">
      <alignment horizontal="left" vertical="center"/>
    </xf>
    <xf numFmtId="0" fontId="8" fillId="2" borderId="32" xfId="3" applyFont="1" applyFill="1" applyBorder="1" applyAlignment="1">
      <alignment horizontal="left" vertical="center"/>
    </xf>
    <xf numFmtId="0" fontId="8" fillId="2" borderId="1" xfId="3" applyFont="1" applyFill="1" applyBorder="1" applyAlignment="1">
      <alignment horizontal="center" vertical="center" wrapText="1"/>
    </xf>
    <xf numFmtId="0" fontId="8" fillId="2" borderId="1" xfId="3" applyFont="1" applyFill="1" applyBorder="1" applyAlignment="1">
      <alignment horizontal="center" vertical="center"/>
    </xf>
    <xf numFmtId="0" fontId="7" fillId="2" borderId="1" xfId="3" applyFont="1" applyFill="1" applyBorder="1" applyAlignment="1" applyProtection="1">
      <alignment horizontal="center" vertical="center"/>
      <protection locked="0"/>
    </xf>
    <xf numFmtId="0" fontId="7" fillId="2" borderId="1" xfId="3" applyFont="1" applyFill="1" applyBorder="1" applyAlignment="1">
      <alignment horizontal="center" vertical="center"/>
    </xf>
    <xf numFmtId="182" fontId="7" fillId="0" borderId="0" xfId="0" applyNumberFormat="1" applyFont="1" applyAlignment="1">
      <alignment horizontal="center" vertical="center"/>
    </xf>
    <xf numFmtId="0" fontId="7" fillId="10" borderId="0" xfId="0" applyFont="1" applyFill="1" applyAlignment="1">
      <alignment horizontal="center" vertical="center"/>
    </xf>
    <xf numFmtId="182" fontId="7" fillId="8" borderId="0" xfId="0" applyNumberFormat="1" applyFont="1" applyFill="1" applyAlignment="1">
      <alignment horizontal="left" vertical="center"/>
    </xf>
    <xf numFmtId="181" fontId="7" fillId="2" borderId="8" xfId="0" applyNumberFormat="1" applyFont="1" applyFill="1" applyBorder="1" applyAlignment="1">
      <alignment horizontal="center" vertical="center" shrinkToFit="1"/>
    </xf>
    <xf numFmtId="181" fontId="7" fillId="2" borderId="33" xfId="0" applyNumberFormat="1" applyFont="1" applyFill="1" applyBorder="1" applyAlignment="1">
      <alignment horizontal="center" vertical="center" shrinkToFit="1"/>
    </xf>
    <xf numFmtId="186" fontId="7" fillId="2" borderId="41" xfId="0" applyNumberFormat="1" applyFont="1" applyFill="1" applyBorder="1" applyAlignment="1">
      <alignment horizontal="center" vertical="center" shrinkToFit="1"/>
    </xf>
    <xf numFmtId="186" fontId="7" fillId="2" borderId="62" xfId="0" applyNumberFormat="1" applyFont="1" applyFill="1" applyBorder="1" applyAlignment="1">
      <alignment horizontal="center" vertical="center" shrinkToFit="1"/>
    </xf>
    <xf numFmtId="0" fontId="7" fillId="2" borderId="86" xfId="0" applyFont="1" applyFill="1" applyBorder="1" applyAlignment="1">
      <alignment horizontal="center" vertical="center" textRotation="255"/>
    </xf>
    <xf numFmtId="0" fontId="7" fillId="2" borderId="89" xfId="0" applyFont="1" applyFill="1" applyBorder="1" applyAlignment="1">
      <alignment horizontal="center" vertical="center" textRotation="255"/>
    </xf>
    <xf numFmtId="0" fontId="7" fillId="2" borderId="92" xfId="0" applyFont="1" applyFill="1" applyBorder="1" applyAlignment="1">
      <alignment horizontal="center" vertical="center" textRotation="255"/>
    </xf>
    <xf numFmtId="0" fontId="7" fillId="11" borderId="218" xfId="0" applyFont="1" applyFill="1" applyBorder="1" applyAlignment="1">
      <alignment horizontal="center" vertical="center"/>
    </xf>
    <xf numFmtId="0" fontId="7" fillId="11" borderId="220" xfId="0" applyFont="1" applyFill="1" applyBorder="1" applyAlignment="1">
      <alignment horizontal="center" vertical="center"/>
    </xf>
    <xf numFmtId="186" fontId="7" fillId="2" borderId="65" xfId="0" applyNumberFormat="1" applyFont="1" applyFill="1" applyBorder="1" applyAlignment="1">
      <alignment horizontal="center" vertical="center" shrinkToFit="1"/>
    </xf>
    <xf numFmtId="181" fontId="7" fillId="2" borderId="12" xfId="0" applyNumberFormat="1" applyFont="1" applyFill="1" applyBorder="1" applyAlignment="1">
      <alignment horizontal="center" vertical="center" shrinkToFit="1"/>
    </xf>
    <xf numFmtId="181" fontId="7" fillId="2" borderId="175" xfId="0" applyNumberFormat="1" applyFont="1" applyFill="1" applyBorder="1" applyAlignment="1">
      <alignment horizontal="center" vertical="center" shrinkToFit="1"/>
    </xf>
    <xf numFmtId="0" fontId="7" fillId="2" borderId="176" xfId="0" applyFont="1" applyFill="1" applyBorder="1" applyAlignment="1">
      <alignment horizontal="center" vertical="center"/>
    </xf>
    <xf numFmtId="0" fontId="7" fillId="2" borderId="177" xfId="0" applyFont="1" applyFill="1" applyBorder="1" applyAlignment="1">
      <alignment horizontal="center" vertical="center"/>
    </xf>
    <xf numFmtId="0" fontId="7" fillId="11" borderId="0" xfId="0" applyFont="1" applyFill="1" applyAlignment="1">
      <alignment horizontal="center" vertical="center"/>
    </xf>
    <xf numFmtId="0" fontId="7" fillId="11" borderId="20" xfId="0" applyFont="1" applyFill="1" applyBorder="1" applyAlignment="1">
      <alignment horizontal="center" vertical="center"/>
    </xf>
    <xf numFmtId="0" fontId="5" fillId="2" borderId="27" xfId="0" applyFont="1" applyFill="1" applyBorder="1" applyAlignment="1">
      <alignment horizontal="left" vertical="center"/>
    </xf>
    <xf numFmtId="0" fontId="7" fillId="2" borderId="59" xfId="0" applyFont="1" applyFill="1" applyBorder="1" applyAlignment="1">
      <alignment horizontal="center" vertical="center"/>
    </xf>
    <xf numFmtId="0" fontId="7" fillId="2" borderId="60" xfId="0" applyFont="1" applyFill="1" applyBorder="1" applyAlignment="1">
      <alignment horizontal="center" vertical="center"/>
    </xf>
    <xf numFmtId="0" fontId="7" fillId="2" borderId="262" xfId="0" applyFont="1" applyFill="1" applyBorder="1" applyAlignment="1">
      <alignment horizontal="center" vertical="center"/>
    </xf>
    <xf numFmtId="0" fontId="7" fillId="11" borderId="86" xfId="0" applyFont="1" applyFill="1" applyBorder="1" applyAlignment="1">
      <alignment horizontal="center" vertical="center" textRotation="255"/>
    </xf>
    <xf numFmtId="0" fontId="7" fillId="11" borderId="89" xfId="0" applyFont="1" applyFill="1" applyBorder="1" applyAlignment="1">
      <alignment horizontal="center" vertical="center" textRotation="255"/>
    </xf>
    <xf numFmtId="0" fontId="7" fillId="11" borderId="92" xfId="0" applyFont="1" applyFill="1" applyBorder="1" applyAlignment="1">
      <alignment horizontal="center" vertical="center" textRotation="255"/>
    </xf>
    <xf numFmtId="186" fontId="7" fillId="2" borderId="40" xfId="0" applyNumberFormat="1" applyFont="1" applyFill="1" applyBorder="1" applyAlignment="1">
      <alignment horizontal="center" vertical="center" shrinkToFit="1"/>
    </xf>
    <xf numFmtId="186" fontId="7" fillId="2" borderId="19" xfId="0" applyNumberFormat="1" applyFont="1" applyFill="1" applyBorder="1" applyAlignment="1">
      <alignment horizontal="center" vertical="center" shrinkToFit="1"/>
    </xf>
    <xf numFmtId="0" fontId="7" fillId="2" borderId="19" xfId="0" applyFont="1" applyFill="1" applyBorder="1" applyAlignment="1">
      <alignment horizontal="center" vertical="center" textRotation="255" wrapText="1"/>
    </xf>
    <xf numFmtId="0" fontId="7" fillId="2" borderId="89" xfId="0" applyFont="1" applyFill="1" applyBorder="1" applyAlignment="1">
      <alignment horizontal="center" vertical="center" textRotation="255" wrapText="1"/>
    </xf>
    <xf numFmtId="0" fontId="7" fillId="11" borderId="89" xfId="0" applyFont="1" applyFill="1" applyBorder="1" applyAlignment="1">
      <alignment horizontal="center" vertical="center" textRotation="255" wrapText="1"/>
    </xf>
    <xf numFmtId="186" fontId="7" fillId="2" borderId="75" xfId="0" applyNumberFormat="1" applyFont="1" applyFill="1" applyBorder="1" applyAlignment="1">
      <alignment horizontal="center" vertical="center" shrinkToFit="1"/>
    </xf>
    <xf numFmtId="181" fontId="7" fillId="2" borderId="77" xfId="0" applyNumberFormat="1" applyFont="1" applyFill="1" applyBorder="1" applyAlignment="1">
      <alignment horizontal="center" vertical="center" shrinkToFit="1"/>
    </xf>
    <xf numFmtId="0" fontId="7" fillId="11" borderId="85" xfId="0" applyFont="1" applyFill="1" applyBorder="1" applyAlignment="1">
      <alignment horizontal="center" vertical="center"/>
    </xf>
    <xf numFmtId="0" fontId="7" fillId="11" borderId="224" xfId="0" applyFont="1" applyFill="1" applyBorder="1" applyAlignment="1">
      <alignment horizontal="center" vertical="center"/>
    </xf>
    <xf numFmtId="0" fontId="7" fillId="11" borderId="40" xfId="0" applyFont="1" applyFill="1" applyBorder="1" applyAlignment="1">
      <alignment horizontal="center" vertical="center"/>
    </xf>
    <xf numFmtId="0" fontId="7" fillId="11" borderId="42" xfId="0" applyFont="1" applyFill="1" applyBorder="1" applyAlignment="1">
      <alignment horizontal="center" vertical="center"/>
    </xf>
    <xf numFmtId="0" fontId="7" fillId="11" borderId="86" xfId="0" applyFont="1" applyFill="1" applyBorder="1" applyAlignment="1">
      <alignment horizontal="center" vertical="center"/>
    </xf>
    <xf numFmtId="0" fontId="7" fillId="11" borderId="222" xfId="0" applyFont="1" applyFill="1" applyBorder="1" applyAlignment="1">
      <alignment horizontal="center" vertical="center"/>
    </xf>
    <xf numFmtId="0" fontId="7" fillId="2" borderId="0" xfId="0" applyFont="1" applyFill="1" applyAlignment="1">
      <alignment horizontal="center" vertical="center"/>
    </xf>
    <xf numFmtId="0" fontId="7" fillId="2" borderId="9" xfId="0" applyFont="1" applyFill="1" applyBorder="1" applyAlignment="1">
      <alignment horizontal="center" vertical="center"/>
    </xf>
    <xf numFmtId="0" fontId="7" fillId="2" borderId="86" xfId="0" applyFont="1" applyFill="1" applyBorder="1" applyAlignment="1">
      <alignment horizontal="center" vertical="center" wrapText="1"/>
    </xf>
    <xf numFmtId="0" fontId="7" fillId="2" borderId="222" xfId="0" applyFont="1" applyFill="1" applyBorder="1" applyAlignment="1">
      <alignment horizontal="center" vertical="center" wrapText="1"/>
    </xf>
    <xf numFmtId="0" fontId="7" fillId="2" borderId="85" xfId="0" applyFont="1" applyFill="1" applyBorder="1" applyAlignment="1">
      <alignment horizontal="center" vertical="center"/>
    </xf>
    <xf numFmtId="0" fontId="7" fillId="2" borderId="224" xfId="0" applyFont="1" applyFill="1" applyBorder="1" applyAlignment="1">
      <alignment horizontal="center" vertical="center"/>
    </xf>
    <xf numFmtId="0" fontId="7" fillId="11" borderId="219" xfId="0" applyFont="1" applyFill="1" applyBorder="1" applyAlignment="1">
      <alignment horizontal="center" vertical="center"/>
    </xf>
    <xf numFmtId="0" fontId="5" fillId="7" borderId="13" xfId="0" applyFont="1" applyFill="1" applyBorder="1" applyAlignment="1">
      <alignment horizontal="center" vertical="center"/>
    </xf>
    <xf numFmtId="0" fontId="5" fillId="7" borderId="15" xfId="0" applyFont="1" applyFill="1" applyBorder="1" applyAlignment="1">
      <alignment horizontal="center" vertical="center"/>
    </xf>
    <xf numFmtId="0" fontId="5" fillId="7" borderId="67" xfId="0" applyFont="1" applyFill="1" applyBorder="1" applyAlignment="1">
      <alignment horizontal="center" vertical="center"/>
    </xf>
    <xf numFmtId="0" fontId="5" fillId="7" borderId="24" xfId="0" applyFont="1" applyFill="1" applyBorder="1" applyAlignment="1">
      <alignment horizontal="center" vertical="center"/>
    </xf>
    <xf numFmtId="0" fontId="5" fillId="7" borderId="172" xfId="0" applyFont="1" applyFill="1" applyBorder="1" applyAlignment="1">
      <alignment horizontal="center" vertical="center"/>
    </xf>
    <xf numFmtId="0" fontId="5" fillId="7" borderId="9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67" xfId="0" applyFont="1" applyFill="1" applyBorder="1" applyAlignment="1">
      <alignment horizontal="center" vertical="center"/>
    </xf>
    <xf numFmtId="0" fontId="5" fillId="3" borderId="24" xfId="0" applyFont="1" applyFill="1" applyBorder="1" applyAlignment="1">
      <alignment horizontal="center" vertical="center"/>
    </xf>
    <xf numFmtId="0" fontId="5" fillId="6" borderId="172" xfId="0" applyFont="1" applyFill="1" applyBorder="1" applyAlignment="1">
      <alignment horizontal="center" vertical="center"/>
    </xf>
    <xf numFmtId="0" fontId="5" fillId="6" borderId="92" xfId="0" applyFont="1" applyFill="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7" borderId="6" xfId="0" applyFont="1" applyFill="1" applyBorder="1" applyAlignment="1">
      <alignment horizontal="center" vertical="center"/>
    </xf>
    <xf numFmtId="0" fontId="5" fillId="7" borderId="8" xfId="0" applyFont="1" applyFill="1" applyBorder="1" applyAlignment="1">
      <alignment horizontal="center" vertical="center"/>
    </xf>
    <xf numFmtId="0" fontId="5" fillId="7" borderId="10" xfId="0" applyFont="1" applyFill="1" applyBorder="1" applyAlignment="1">
      <alignment horizontal="center" vertical="center"/>
    </xf>
    <xf numFmtId="0" fontId="5" fillId="7" borderId="12" xfId="0" applyFont="1" applyFill="1" applyBorder="1" applyAlignment="1">
      <alignment horizontal="center" vertical="center"/>
    </xf>
    <xf numFmtId="0" fontId="5" fillId="7" borderId="48" xfId="0" applyFont="1" applyFill="1" applyBorder="1" applyAlignment="1">
      <alignment horizontal="center" vertical="center"/>
    </xf>
    <xf numFmtId="0" fontId="5" fillId="7" borderId="30" xfId="0" applyFont="1" applyFill="1" applyBorder="1" applyAlignment="1">
      <alignment horizontal="center" vertical="center"/>
    </xf>
    <xf numFmtId="0" fontId="5" fillId="7" borderId="74"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0" xfId="0" applyFont="1" applyFill="1" applyAlignment="1">
      <alignment horizontal="center" vertical="center"/>
    </xf>
    <xf numFmtId="0" fontId="5" fillId="5" borderId="16" xfId="0" applyFont="1" applyFill="1" applyBorder="1" applyAlignment="1">
      <alignment horizontal="center" vertical="center"/>
    </xf>
    <xf numFmtId="0" fontId="5" fillId="0" borderId="1" xfId="0" applyFont="1" applyBorder="1" applyAlignment="1">
      <alignment horizontal="center" vertical="center"/>
    </xf>
    <xf numFmtId="0" fontId="0" fillId="0" borderId="2" xfId="0" applyBorder="1" applyAlignment="1">
      <alignment horizontal="center" vertical="center"/>
    </xf>
    <xf numFmtId="0" fontId="5" fillId="0" borderId="69" xfId="0" applyFont="1" applyBorder="1" applyAlignment="1">
      <alignment horizontal="center" vertical="center"/>
    </xf>
    <xf numFmtId="0" fontId="5" fillId="0" borderId="83" xfId="0" applyFont="1" applyBorder="1" applyAlignment="1">
      <alignment horizontal="center" vertical="center"/>
    </xf>
    <xf numFmtId="0" fontId="5" fillId="0" borderId="3" xfId="0" applyFont="1" applyBorder="1" applyAlignment="1">
      <alignment horizontal="left" vertical="center"/>
    </xf>
    <xf numFmtId="0" fontId="5" fillId="0" borderId="11" xfId="0" applyFont="1" applyBorder="1" applyAlignment="1">
      <alignment horizontal="left" vertical="center"/>
    </xf>
    <xf numFmtId="0" fontId="5" fillId="0" borderId="4" xfId="0" applyFont="1" applyBorder="1" applyAlignment="1">
      <alignment horizontal="left" vertical="center"/>
    </xf>
    <xf numFmtId="0" fontId="5" fillId="0" borderId="41" xfId="0" applyFont="1" applyBorder="1" applyAlignment="1">
      <alignment horizontal="center" vertical="center"/>
    </xf>
    <xf numFmtId="0" fontId="5" fillId="0" borderId="12" xfId="0" applyFont="1" applyBorder="1" applyAlignment="1">
      <alignment horizontal="left" vertical="center"/>
    </xf>
    <xf numFmtId="0" fontId="5" fillId="0" borderId="3" xfId="0" applyFont="1" applyBorder="1" applyAlignment="1">
      <alignment horizontal="center" vertical="center"/>
    </xf>
    <xf numFmtId="0" fontId="5" fillId="3" borderId="6"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30" xfId="0" applyFont="1" applyFill="1" applyBorder="1" applyAlignment="1">
      <alignment horizontal="center" vertical="center"/>
    </xf>
    <xf numFmtId="0" fontId="5" fillId="6" borderId="74" xfId="0" applyFont="1" applyFill="1" applyBorder="1" applyAlignment="1">
      <alignment horizontal="center" vertical="center"/>
    </xf>
    <xf numFmtId="0" fontId="0" fillId="0" borderId="7" xfId="0" applyBorder="1" applyAlignment="1">
      <alignment horizontal="center" vertical="center"/>
    </xf>
    <xf numFmtId="0" fontId="7" fillId="3" borderId="26" xfId="0" applyFont="1" applyFill="1" applyBorder="1" applyAlignment="1" applyProtection="1">
      <alignment horizontal="center" vertical="center" shrinkToFit="1"/>
      <protection locked="0"/>
    </xf>
    <xf numFmtId="0" fontId="7" fillId="3" borderId="27" xfId="0" applyFont="1" applyFill="1" applyBorder="1" applyAlignment="1" applyProtection="1">
      <alignment horizontal="center" vertical="center" shrinkToFit="1"/>
      <protection locked="0"/>
    </xf>
    <xf numFmtId="0" fontId="7" fillId="3" borderId="27" xfId="0" applyFont="1" applyFill="1" applyBorder="1" applyAlignment="1" applyProtection="1">
      <alignment horizontal="left" vertical="center" shrinkToFit="1"/>
      <protection locked="0"/>
    </xf>
    <xf numFmtId="0" fontId="7" fillId="3" borderId="33" xfId="0" applyFont="1" applyFill="1" applyBorder="1" applyAlignment="1" applyProtection="1">
      <alignment horizontal="left" vertical="center" shrinkToFit="1"/>
      <protection locked="0"/>
    </xf>
    <xf numFmtId="179" fontId="7" fillId="2" borderId="0" xfId="0" applyNumberFormat="1" applyFont="1" applyFill="1" applyAlignment="1">
      <alignment horizontal="center" vertical="top" wrapText="1"/>
    </xf>
    <xf numFmtId="0" fontId="7" fillId="3" borderId="11" xfId="0" applyFont="1" applyFill="1" applyBorder="1" applyAlignment="1" applyProtection="1">
      <alignment horizontal="left" vertical="center" shrinkToFit="1"/>
      <protection locked="0"/>
    </xf>
    <xf numFmtId="0" fontId="7" fillId="3" borderId="12" xfId="0" applyFont="1" applyFill="1" applyBorder="1" applyAlignment="1" applyProtection="1">
      <alignment horizontal="left" vertical="center" shrinkToFit="1"/>
      <protection locked="0"/>
    </xf>
    <xf numFmtId="0" fontId="7" fillId="3" borderId="10" xfId="0" applyFont="1" applyFill="1" applyBorder="1" applyAlignment="1" applyProtection="1">
      <alignment horizontal="center" vertical="center" shrinkToFit="1"/>
      <protection locked="0"/>
    </xf>
    <xf numFmtId="0" fontId="7" fillId="3" borderId="11" xfId="0" applyFont="1" applyFill="1" applyBorder="1" applyAlignment="1" applyProtection="1">
      <alignment horizontal="center" vertical="center" shrinkToFit="1"/>
      <protection locked="0"/>
    </xf>
    <xf numFmtId="0" fontId="7" fillId="2" borderId="0" xfId="0" applyFont="1" applyFill="1" applyAlignment="1">
      <alignment horizontal="left" vertical="top"/>
    </xf>
    <xf numFmtId="0" fontId="7" fillId="2" borderId="318" xfId="0" applyFont="1" applyFill="1" applyBorder="1" applyAlignment="1">
      <alignment horizontal="center" vertical="center"/>
    </xf>
    <xf numFmtId="0" fontId="7" fillId="2" borderId="28" xfId="0" applyFont="1" applyFill="1" applyBorder="1" applyAlignment="1">
      <alignment horizontal="center" vertical="center"/>
    </xf>
    <xf numFmtId="0" fontId="7" fillId="3" borderId="27" xfId="0" applyFont="1" applyFill="1" applyBorder="1" applyAlignment="1" applyProtection="1">
      <alignment horizontal="left" vertical="center"/>
      <protection locked="0"/>
    </xf>
    <xf numFmtId="0" fontId="7" fillId="3" borderId="32" xfId="0" applyFont="1" applyFill="1" applyBorder="1" applyAlignment="1" applyProtection="1">
      <alignment horizontal="left" vertical="center"/>
      <protection locked="0"/>
    </xf>
    <xf numFmtId="0" fontId="7" fillId="4" borderId="27" xfId="0" applyFont="1" applyFill="1" applyBorder="1" applyAlignment="1" applyProtection="1">
      <alignment horizontal="left" vertical="center"/>
      <protection locked="0"/>
    </xf>
    <xf numFmtId="0" fontId="7" fillId="4" borderId="32" xfId="0" applyFont="1" applyFill="1" applyBorder="1" applyAlignment="1" applyProtection="1">
      <alignment horizontal="left" vertical="center"/>
      <protection locked="0"/>
    </xf>
    <xf numFmtId="0" fontId="7" fillId="3" borderId="11" xfId="0" applyFont="1" applyFill="1" applyBorder="1" applyAlignment="1" applyProtection="1">
      <alignment horizontal="left" vertical="center"/>
      <protection locked="0"/>
    </xf>
    <xf numFmtId="0" fontId="7" fillId="3" borderId="30" xfId="0" applyFont="1" applyFill="1" applyBorder="1" applyAlignment="1" applyProtection="1">
      <alignment horizontal="left" vertical="center"/>
      <protection locked="0"/>
    </xf>
    <xf numFmtId="0" fontId="7" fillId="4" borderId="11" xfId="0" applyFont="1" applyFill="1" applyBorder="1" applyAlignment="1" applyProtection="1">
      <alignment horizontal="left" vertical="center"/>
      <protection locked="0"/>
    </xf>
    <xf numFmtId="0" fontId="7" fillId="4" borderId="30" xfId="0" applyFont="1" applyFill="1" applyBorder="1" applyAlignment="1" applyProtection="1">
      <alignment horizontal="left" vertical="center"/>
      <protection locked="0"/>
    </xf>
    <xf numFmtId="0" fontId="7" fillId="4" borderId="79"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80" xfId="0" applyFont="1" applyFill="1" applyBorder="1" applyAlignment="1" applyProtection="1">
      <alignment horizontal="center" vertical="center"/>
      <protection locked="0"/>
    </xf>
    <xf numFmtId="0" fontId="7" fillId="4" borderId="308" xfId="0" applyFont="1" applyFill="1" applyBorder="1" applyAlignment="1" applyProtection="1">
      <alignment horizontal="center" vertical="center"/>
      <protection locked="0"/>
    </xf>
    <xf numFmtId="0" fontId="7" fillId="4" borderId="309" xfId="0" applyFont="1" applyFill="1" applyBorder="1" applyAlignment="1" applyProtection="1">
      <alignment horizontal="center" vertical="center"/>
      <protection locked="0"/>
    </xf>
    <xf numFmtId="0" fontId="7" fillId="4" borderId="310" xfId="0" applyFont="1" applyFill="1" applyBorder="1" applyAlignment="1" applyProtection="1">
      <alignment horizontal="center" vertical="center"/>
      <protection locked="0"/>
    </xf>
    <xf numFmtId="0" fontId="7" fillId="4" borderId="305" xfId="0" applyFont="1" applyFill="1" applyBorder="1" applyAlignment="1" applyProtection="1">
      <alignment horizontal="center" vertical="center"/>
      <protection locked="0"/>
    </xf>
    <xf numFmtId="0" fontId="7" fillId="4" borderId="306" xfId="0" applyFont="1" applyFill="1" applyBorder="1" applyAlignment="1" applyProtection="1">
      <alignment horizontal="center" vertical="center"/>
      <protection locked="0"/>
    </xf>
    <xf numFmtId="0" fontId="7" fillId="4" borderId="307" xfId="0" applyFont="1" applyFill="1" applyBorder="1" applyAlignment="1" applyProtection="1">
      <alignment horizontal="center" vertical="center"/>
      <protection locked="0"/>
    </xf>
    <xf numFmtId="0" fontId="7" fillId="2" borderId="324" xfId="0" applyFont="1" applyFill="1" applyBorder="1" applyAlignment="1">
      <alignment horizontal="center" vertical="center"/>
    </xf>
    <xf numFmtId="0" fontId="7" fillId="2" borderId="244" xfId="0" applyFont="1" applyFill="1" applyBorder="1" applyAlignment="1">
      <alignment horizontal="center" vertical="center"/>
    </xf>
    <xf numFmtId="0" fontId="7" fillId="2" borderId="245" xfId="0" applyFont="1" applyFill="1" applyBorder="1" applyAlignment="1">
      <alignment horizontal="center" vertical="center"/>
    </xf>
    <xf numFmtId="0" fontId="7" fillId="3" borderId="240" xfId="0" applyFont="1" applyFill="1" applyBorder="1" applyAlignment="1" applyProtection="1">
      <alignment horizontal="center" vertical="center"/>
      <protection locked="0"/>
    </xf>
    <xf numFmtId="0" fontId="7" fillId="3" borderId="251" xfId="0" applyFont="1" applyFill="1" applyBorder="1" applyAlignment="1" applyProtection="1">
      <alignment horizontal="center" vertical="center"/>
      <protection locked="0"/>
    </xf>
    <xf numFmtId="0" fontId="7" fillId="3" borderId="28" xfId="0" applyFont="1" applyFill="1" applyBorder="1" applyAlignment="1" applyProtection="1">
      <alignment horizontal="center" vertical="center"/>
      <protection locked="0"/>
    </xf>
    <xf numFmtId="0" fontId="7" fillId="3" borderId="323" xfId="0" applyFont="1" applyFill="1" applyBorder="1" applyAlignment="1" applyProtection="1">
      <alignment horizontal="center" vertical="center"/>
      <protection locked="0"/>
    </xf>
    <xf numFmtId="0" fontId="7" fillId="2" borderId="47" xfId="0" applyFont="1" applyFill="1" applyBorder="1" applyAlignment="1">
      <alignment horizontal="center" vertical="center"/>
    </xf>
    <xf numFmtId="0" fontId="7" fillId="2" borderId="320" xfId="0" applyFont="1" applyFill="1" applyBorder="1" applyAlignment="1">
      <alignment horizontal="center" vertical="center" wrapText="1"/>
    </xf>
    <xf numFmtId="0" fontId="7" fillId="2" borderId="321" xfId="0" applyFont="1" applyFill="1" applyBorder="1" applyAlignment="1">
      <alignment horizontal="center" vertical="center" wrapText="1"/>
    </xf>
    <xf numFmtId="0" fontId="7" fillId="2" borderId="66" xfId="0" applyFont="1" applyFill="1" applyBorder="1" applyAlignment="1">
      <alignment horizontal="center" vertical="center" wrapText="1"/>
    </xf>
    <xf numFmtId="0" fontId="17" fillId="2" borderId="173" xfId="0" applyFont="1" applyFill="1" applyBorder="1" applyAlignment="1">
      <alignment horizontal="left" vertical="center" shrinkToFit="1"/>
    </xf>
    <xf numFmtId="0" fontId="17" fillId="2" borderId="322" xfId="0" applyFont="1" applyFill="1" applyBorder="1" applyAlignment="1">
      <alignment horizontal="left" vertical="center" shrinkToFit="1"/>
    </xf>
    <xf numFmtId="0" fontId="20" fillId="2" borderId="36" xfId="0" applyFont="1" applyFill="1" applyBorder="1" applyAlignment="1">
      <alignment horizontal="left" vertical="center"/>
    </xf>
    <xf numFmtId="0" fontId="17" fillId="2" borderId="6" xfId="0" applyFont="1" applyFill="1" applyBorder="1" applyAlignment="1">
      <alignment horizontal="left" vertical="center"/>
    </xf>
    <xf numFmtId="0" fontId="17" fillId="2" borderId="7" xfId="0" applyFont="1" applyFill="1" applyBorder="1" applyAlignment="1">
      <alignment horizontal="left" vertical="center"/>
    </xf>
    <xf numFmtId="0" fontId="17" fillId="2" borderId="48" xfId="0" applyFont="1" applyFill="1" applyBorder="1" applyAlignment="1">
      <alignment horizontal="left" vertical="center"/>
    </xf>
    <xf numFmtId="0" fontId="8" fillId="2" borderId="15" xfId="0" applyFont="1" applyFill="1" applyBorder="1" applyAlignment="1">
      <alignment horizontal="left" vertical="center"/>
    </xf>
    <xf numFmtId="0" fontId="8" fillId="2" borderId="10" xfId="0" applyFont="1" applyFill="1" applyBorder="1" applyAlignment="1">
      <alignment horizontal="left" vertical="center" shrinkToFit="1"/>
    </xf>
    <xf numFmtId="0" fontId="8" fillId="2" borderId="11" xfId="0" applyFont="1" applyFill="1" applyBorder="1" applyAlignment="1">
      <alignment horizontal="left" vertical="center" shrinkToFit="1"/>
    </xf>
    <xf numFmtId="0" fontId="8" fillId="2" borderId="30" xfId="0" applyFont="1" applyFill="1" applyBorder="1" applyAlignment="1">
      <alignment horizontal="left" vertical="center" shrinkToFit="1"/>
    </xf>
    <xf numFmtId="0" fontId="8" fillId="2" borderId="50" xfId="0" applyFont="1" applyFill="1" applyBorder="1" applyAlignment="1">
      <alignment horizontal="center" vertical="center"/>
    </xf>
    <xf numFmtId="0" fontId="8" fillId="2" borderId="50" xfId="0" applyFont="1" applyFill="1" applyBorder="1" applyAlignment="1">
      <alignment horizontal="left" vertical="center"/>
    </xf>
    <xf numFmtId="0" fontId="7" fillId="2" borderId="11" xfId="0" applyFont="1" applyFill="1" applyBorder="1" applyAlignment="1">
      <alignment horizontal="center" vertical="top" wrapText="1"/>
    </xf>
    <xf numFmtId="0" fontId="8" fillId="2" borderId="316" xfId="0" applyFont="1" applyFill="1" applyBorder="1" applyAlignment="1">
      <alignment horizontal="left" vertical="center"/>
    </xf>
    <xf numFmtId="0" fontId="8" fillId="2" borderId="257" xfId="0" applyFont="1" applyFill="1" applyBorder="1" applyAlignment="1">
      <alignment horizontal="left" vertical="center"/>
    </xf>
    <xf numFmtId="0" fontId="8" fillId="2" borderId="258" xfId="0" applyFont="1" applyFill="1" applyBorder="1" applyAlignment="1">
      <alignment horizontal="left"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313" xfId="0" applyFont="1" applyFill="1" applyBorder="1" applyAlignment="1">
      <alignment horizontal="center" vertical="center" wrapText="1"/>
    </xf>
    <xf numFmtId="0" fontId="17" fillId="2" borderId="314" xfId="0" applyFont="1" applyFill="1" applyBorder="1" applyAlignment="1">
      <alignment horizontal="center" vertical="center" wrapText="1"/>
    </xf>
    <xf numFmtId="0" fontId="8" fillId="2" borderId="0" xfId="0" applyFont="1" applyFill="1" applyAlignment="1">
      <alignment horizontal="left" vertical="center"/>
    </xf>
    <xf numFmtId="0" fontId="8" fillId="2" borderId="20" xfId="0" applyFont="1" applyFill="1" applyBorder="1" applyAlignment="1">
      <alignment horizontal="left" vertical="center"/>
    </xf>
    <xf numFmtId="0" fontId="8" fillId="2" borderId="11" xfId="0" applyFont="1" applyFill="1" applyBorder="1" applyAlignment="1">
      <alignment horizontal="left" vertical="center"/>
    </xf>
    <xf numFmtId="0" fontId="8" fillId="2" borderId="30" xfId="0" applyFont="1" applyFill="1" applyBorder="1" applyAlignment="1">
      <alignment horizontal="left" vertical="center"/>
    </xf>
    <xf numFmtId="0" fontId="17" fillId="2" borderId="8" xfId="0" applyFont="1" applyFill="1" applyBorder="1" applyAlignment="1">
      <alignment horizontal="left" vertical="center"/>
    </xf>
    <xf numFmtId="0" fontId="8" fillId="2" borderId="12" xfId="0" applyFont="1" applyFill="1" applyBorder="1" applyAlignment="1">
      <alignment horizontal="left" vertical="center"/>
    </xf>
    <xf numFmtId="0" fontId="8" fillId="2" borderId="10" xfId="0" applyFont="1" applyFill="1" applyBorder="1" applyAlignment="1">
      <alignment horizontal="left" vertical="center"/>
    </xf>
    <xf numFmtId="0" fontId="8" fillId="2" borderId="24" xfId="0" applyFont="1" applyFill="1" applyBorder="1" applyAlignment="1">
      <alignment horizontal="left" vertical="center"/>
    </xf>
    <xf numFmtId="0" fontId="19" fillId="2" borderId="50" xfId="0" applyFont="1" applyFill="1" applyBorder="1" applyAlignment="1">
      <alignment horizontal="center" vertical="center" wrapText="1"/>
    </xf>
    <xf numFmtId="56" fontId="7" fillId="2" borderId="6" xfId="0" applyNumberFormat="1" applyFont="1" applyFill="1" applyBorder="1" applyAlignment="1" applyProtection="1">
      <alignment horizontal="center" vertical="center"/>
      <protection locked="0"/>
    </xf>
    <xf numFmtId="56" fontId="7" fillId="2" borderId="7" xfId="0" applyNumberFormat="1" applyFont="1" applyFill="1" applyBorder="1" applyAlignment="1" applyProtection="1">
      <alignment horizontal="center" vertical="center"/>
      <protection locked="0"/>
    </xf>
    <xf numFmtId="56" fontId="7" fillId="2" borderId="8" xfId="0" applyNumberFormat="1" applyFont="1" applyFill="1" applyBorder="1" applyAlignment="1" applyProtection="1">
      <alignment horizontal="center" vertical="center"/>
      <protection locked="0"/>
    </xf>
    <xf numFmtId="56" fontId="7" fillId="2" borderId="5" xfId="0" applyNumberFormat="1" applyFont="1" applyFill="1" applyBorder="1" applyAlignment="1" applyProtection="1">
      <alignment horizontal="center" vertical="center"/>
      <protection locked="0"/>
    </xf>
    <xf numFmtId="56" fontId="7" fillId="2" borderId="0" xfId="0" applyNumberFormat="1" applyFont="1" applyFill="1" applyAlignment="1" applyProtection="1">
      <alignment horizontal="center" vertical="center"/>
      <protection locked="0"/>
    </xf>
    <xf numFmtId="56" fontId="7" fillId="2" borderId="9" xfId="0" applyNumberFormat="1" applyFont="1" applyFill="1" applyBorder="1" applyAlignment="1" applyProtection="1">
      <alignment horizontal="center" vertical="center"/>
      <protection locked="0"/>
    </xf>
    <xf numFmtId="56" fontId="7" fillId="2" borderId="10" xfId="0" applyNumberFormat="1" applyFont="1" applyFill="1" applyBorder="1" applyAlignment="1" applyProtection="1">
      <alignment horizontal="center" vertical="center"/>
      <protection locked="0"/>
    </xf>
    <xf numFmtId="56" fontId="7" fillId="2" borderId="11" xfId="0" applyNumberFormat="1" applyFont="1" applyFill="1" applyBorder="1" applyAlignment="1" applyProtection="1">
      <alignment horizontal="center" vertical="center"/>
      <protection locked="0"/>
    </xf>
    <xf numFmtId="56" fontId="7" fillId="2" borderId="12" xfId="0" applyNumberFormat="1" applyFont="1" applyFill="1" applyBorder="1" applyAlignment="1" applyProtection="1">
      <alignment horizontal="center" vertical="center"/>
      <protection locked="0"/>
    </xf>
    <xf numFmtId="0" fontId="8" fillId="2" borderId="319" xfId="0" applyFont="1" applyFill="1" applyBorder="1" applyAlignment="1">
      <alignment horizontal="left" vertical="center"/>
    </xf>
    <xf numFmtId="0" fontId="9" fillId="2" borderId="18" xfId="0" applyFont="1" applyFill="1" applyBorder="1" applyAlignment="1">
      <alignment horizontal="left" vertical="top" wrapText="1"/>
    </xf>
    <xf numFmtId="0" fontId="9" fillId="2" borderId="64" xfId="0" applyFont="1" applyFill="1" applyBorder="1" applyAlignment="1">
      <alignment horizontal="left" vertical="top" wrapText="1"/>
    </xf>
    <xf numFmtId="0" fontId="7" fillId="2" borderId="0" xfId="0" applyFont="1" applyFill="1" applyAlignment="1" applyProtection="1">
      <alignment horizontal="left" vertical="center" shrinkToFit="1"/>
      <protection locked="0"/>
    </xf>
    <xf numFmtId="0" fontId="7" fillId="2" borderId="9" xfId="0" applyFont="1" applyFill="1" applyBorder="1" applyAlignment="1" applyProtection="1">
      <alignment horizontal="left" vertical="center" shrinkToFit="1"/>
      <protection locked="0"/>
    </xf>
    <xf numFmtId="0" fontId="6" fillId="2" borderId="19"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176" fontId="7" fillId="2" borderId="41" xfId="0" applyNumberFormat="1" applyFont="1" applyFill="1" applyBorder="1" applyAlignment="1" applyProtection="1">
      <alignment horizontal="center" vertical="center" shrinkToFit="1"/>
      <protection locked="0"/>
    </xf>
    <xf numFmtId="176" fontId="7" fillId="2" borderId="7" xfId="0" applyNumberFormat="1" applyFont="1" applyFill="1" applyBorder="1" applyAlignment="1" applyProtection="1">
      <alignment horizontal="center" vertical="center" shrinkToFit="1"/>
      <protection locked="0"/>
    </xf>
    <xf numFmtId="176" fontId="7" fillId="2" borderId="8" xfId="0" applyNumberFormat="1" applyFont="1" applyFill="1" applyBorder="1" applyAlignment="1" applyProtection="1">
      <alignment horizontal="center" vertical="center" shrinkToFit="1"/>
      <protection locked="0"/>
    </xf>
    <xf numFmtId="176" fontId="7" fillId="2" borderId="19" xfId="0" applyNumberFormat="1" applyFont="1" applyFill="1" applyBorder="1" applyAlignment="1" applyProtection="1">
      <alignment horizontal="center" vertical="center" shrinkToFit="1"/>
      <protection locked="0"/>
    </xf>
    <xf numFmtId="176" fontId="7" fillId="2" borderId="0" xfId="0" applyNumberFormat="1" applyFont="1" applyFill="1" applyAlignment="1" applyProtection="1">
      <alignment horizontal="center" vertical="center" shrinkToFit="1"/>
      <protection locked="0"/>
    </xf>
    <xf numFmtId="176" fontId="7" fillId="2" borderId="9" xfId="0" applyNumberFormat="1" applyFont="1" applyFill="1" applyBorder="1" applyAlignment="1" applyProtection="1">
      <alignment horizontal="center" vertical="center" shrinkToFit="1"/>
      <protection locked="0"/>
    </xf>
    <xf numFmtId="176" fontId="7" fillId="2" borderId="62" xfId="0" applyNumberFormat="1" applyFont="1" applyFill="1" applyBorder="1" applyAlignment="1" applyProtection="1">
      <alignment horizontal="center" vertical="center" shrinkToFit="1"/>
      <protection locked="0"/>
    </xf>
    <xf numFmtId="176" fontId="7" fillId="2" borderId="27" xfId="0" applyNumberFormat="1" applyFont="1" applyFill="1" applyBorder="1" applyAlignment="1" applyProtection="1">
      <alignment horizontal="center" vertical="center" shrinkToFit="1"/>
      <protection locked="0"/>
    </xf>
    <xf numFmtId="176" fontId="7" fillId="2" borderId="33" xfId="0" applyNumberFormat="1" applyFont="1" applyFill="1" applyBorder="1" applyAlignment="1" applyProtection="1">
      <alignment horizontal="center" vertical="center" shrinkToFit="1"/>
      <protection locked="0"/>
    </xf>
    <xf numFmtId="20" fontId="7" fillId="2" borderId="0" xfId="0" applyNumberFormat="1" applyFont="1" applyFill="1" applyAlignment="1" applyProtection="1">
      <alignment horizontal="distributed" vertical="center" indent="1" shrinkToFit="1"/>
      <protection locked="0"/>
    </xf>
    <xf numFmtId="0" fontId="7" fillId="2" borderId="0" xfId="0" applyFont="1" applyFill="1" applyAlignment="1" applyProtection="1">
      <alignment horizontal="distributed" vertical="center" indent="1" shrinkToFit="1"/>
      <protection locked="0"/>
    </xf>
    <xf numFmtId="176" fontId="7" fillId="2" borderId="75" xfId="0" applyNumberFormat="1" applyFont="1" applyFill="1" applyBorder="1" applyAlignment="1" applyProtection="1">
      <alignment horizontal="center" vertical="center" shrinkToFit="1"/>
      <protection locked="0"/>
    </xf>
    <xf numFmtId="176" fontId="7" fillId="2" borderId="18" xfId="0" applyNumberFormat="1" applyFont="1" applyFill="1" applyBorder="1" applyAlignment="1" applyProtection="1">
      <alignment horizontal="center" vertical="center" shrinkToFit="1"/>
      <protection locked="0"/>
    </xf>
    <xf numFmtId="176" fontId="7" fillId="2" borderId="77" xfId="0" applyNumberFormat="1" applyFont="1" applyFill="1" applyBorder="1" applyAlignment="1" applyProtection="1">
      <alignment horizontal="center" vertical="center" shrinkToFit="1"/>
      <protection locked="0"/>
    </xf>
    <xf numFmtId="176" fontId="7" fillId="2" borderId="65" xfId="0" applyNumberFormat="1" applyFont="1" applyFill="1" applyBorder="1" applyAlignment="1" applyProtection="1">
      <alignment horizontal="center" vertical="center" shrinkToFit="1"/>
      <protection locked="0"/>
    </xf>
    <xf numFmtId="176" fontId="7" fillId="2" borderId="11" xfId="0" applyNumberFormat="1" applyFont="1" applyFill="1" applyBorder="1" applyAlignment="1" applyProtection="1">
      <alignment horizontal="center" vertical="center" shrinkToFit="1"/>
      <protection locked="0"/>
    </xf>
    <xf numFmtId="176" fontId="7" fillId="2" borderId="12" xfId="0" applyNumberFormat="1" applyFont="1" applyFill="1" applyBorder="1" applyAlignment="1" applyProtection="1">
      <alignment horizontal="center" vertical="center" shrinkToFit="1"/>
      <protection locked="0"/>
    </xf>
    <xf numFmtId="179" fontId="7" fillId="2" borderId="0" xfId="0" applyNumberFormat="1" applyFont="1" applyFill="1" applyAlignment="1">
      <alignment horizontal="right" vertical="top" wrapText="1"/>
    </xf>
    <xf numFmtId="0" fontId="9" fillId="2" borderId="5" xfId="0" applyFont="1" applyFill="1" applyBorder="1" applyAlignment="1" applyProtection="1">
      <alignment horizontal="distributed" vertical="center" indent="1"/>
      <protection locked="0"/>
    </xf>
    <xf numFmtId="0" fontId="9" fillId="2" borderId="0" xfId="0" applyFont="1" applyFill="1" applyAlignment="1" applyProtection="1">
      <alignment horizontal="distributed" vertical="center" indent="1"/>
      <protection locked="0"/>
    </xf>
    <xf numFmtId="0" fontId="9" fillId="2" borderId="9" xfId="0" applyFont="1" applyFill="1" applyBorder="1" applyAlignment="1" applyProtection="1">
      <alignment horizontal="distributed" vertical="center" indent="1"/>
      <protection locked="0"/>
    </xf>
    <xf numFmtId="0" fontId="9" fillId="2" borderId="26" xfId="0" applyFont="1" applyFill="1" applyBorder="1" applyAlignment="1" applyProtection="1">
      <alignment horizontal="distributed" vertical="center" indent="1"/>
      <protection locked="0"/>
    </xf>
    <xf numFmtId="0" fontId="9" fillId="2" borderId="27" xfId="0" applyFont="1" applyFill="1" applyBorder="1" applyAlignment="1" applyProtection="1">
      <alignment horizontal="distributed" vertical="center" indent="1"/>
      <protection locked="0"/>
    </xf>
    <xf numFmtId="0" fontId="9" fillId="2" borderId="33" xfId="0" applyFont="1" applyFill="1" applyBorder="1" applyAlignment="1" applyProtection="1">
      <alignment horizontal="distributed" vertical="center" indent="1"/>
      <protection locked="0"/>
    </xf>
    <xf numFmtId="0" fontId="7" fillId="2" borderId="79" xfId="0" applyFont="1" applyFill="1" applyBorder="1" applyAlignment="1" applyProtection="1">
      <alignment horizontal="center" vertical="center"/>
      <protection locked="0"/>
    </xf>
    <xf numFmtId="0" fontId="7" fillId="2" borderId="58" xfId="0" applyFont="1" applyFill="1" applyBorder="1" applyAlignment="1" applyProtection="1">
      <alignment horizontal="center" vertical="center"/>
      <protection locked="0"/>
    </xf>
    <xf numFmtId="0" fontId="7" fillId="2" borderId="80" xfId="0" applyFont="1" applyFill="1" applyBorder="1" applyAlignment="1" applyProtection="1">
      <alignment horizontal="center" vertical="center"/>
      <protection locked="0"/>
    </xf>
    <xf numFmtId="0" fontId="7" fillId="2" borderId="62" xfId="0" applyFont="1" applyFill="1" applyBorder="1" applyAlignment="1" applyProtection="1">
      <alignment horizontal="distributed" vertical="center" indent="1"/>
      <protection locked="0"/>
    </xf>
    <xf numFmtId="0" fontId="7" fillId="2" borderId="27" xfId="0" applyFont="1" applyFill="1" applyBorder="1" applyAlignment="1" applyProtection="1">
      <alignment horizontal="distributed" vertical="center" indent="1"/>
      <protection locked="0"/>
    </xf>
    <xf numFmtId="0" fontId="7" fillId="2" borderId="32" xfId="0" applyFont="1" applyFill="1" applyBorder="1" applyAlignment="1" applyProtection="1">
      <alignment horizontal="distributed" vertical="center" indent="1"/>
      <protection locked="0"/>
    </xf>
    <xf numFmtId="176" fontId="7" fillId="2" borderId="82" xfId="0" applyNumberFormat="1" applyFont="1" applyFill="1" applyBorder="1" applyAlignment="1" applyProtection="1">
      <alignment horizontal="center" vertical="center" shrinkToFit="1"/>
      <protection locked="0"/>
    </xf>
    <xf numFmtId="176" fontId="7" fillId="2" borderId="3" xfId="0" applyNumberFormat="1" applyFont="1" applyFill="1" applyBorder="1" applyAlignment="1" applyProtection="1">
      <alignment horizontal="center" vertical="center" shrinkToFit="1"/>
      <protection locked="0"/>
    </xf>
    <xf numFmtId="176" fontId="7" fillId="2" borderId="4" xfId="0" applyNumberFormat="1" applyFont="1" applyFill="1" applyBorder="1" applyAlignment="1" applyProtection="1">
      <alignment horizontal="center" vertical="center" shrinkToFit="1"/>
      <protection locked="0"/>
    </xf>
    <xf numFmtId="0" fontId="9" fillId="2" borderId="2" xfId="0" applyFont="1" applyFill="1" applyBorder="1" applyAlignment="1" applyProtection="1">
      <alignment horizontal="distributed" vertical="center" indent="1"/>
      <protection locked="0"/>
    </xf>
    <xf numFmtId="0" fontId="9" fillId="2" borderId="3" xfId="0" applyFont="1" applyFill="1" applyBorder="1" applyAlignment="1" applyProtection="1">
      <alignment horizontal="distributed" vertical="center" indent="1"/>
      <protection locked="0"/>
    </xf>
    <xf numFmtId="0" fontId="9" fillId="2" borderId="4" xfId="0" applyFont="1" applyFill="1" applyBorder="1" applyAlignment="1" applyProtection="1">
      <alignment horizontal="distributed" vertical="center" indent="1"/>
      <protection locked="0"/>
    </xf>
    <xf numFmtId="0" fontId="9" fillId="2" borderId="83" xfId="0" applyFont="1" applyFill="1" applyBorder="1" applyAlignment="1" applyProtection="1">
      <alignment horizontal="distributed" vertical="center" indent="1"/>
      <protection locked="0"/>
    </xf>
    <xf numFmtId="0" fontId="7" fillId="2" borderId="308" xfId="0" applyFont="1" applyFill="1" applyBorder="1" applyAlignment="1" applyProtection="1">
      <alignment horizontal="center" vertical="center"/>
      <protection locked="0"/>
    </xf>
    <xf numFmtId="0" fontId="7" fillId="2" borderId="309" xfId="0" applyFont="1" applyFill="1" applyBorder="1" applyAlignment="1" applyProtection="1">
      <alignment horizontal="center" vertical="center"/>
      <protection locked="0"/>
    </xf>
    <xf numFmtId="0" fontId="7" fillId="2" borderId="310" xfId="0" applyFont="1" applyFill="1" applyBorder="1" applyAlignment="1" applyProtection="1">
      <alignment horizontal="center" vertical="center"/>
      <protection locked="0"/>
    </xf>
    <xf numFmtId="0" fontId="7" fillId="2" borderId="19" xfId="0" applyFont="1" applyFill="1" applyBorder="1" applyAlignment="1" applyProtection="1">
      <alignment horizontal="distributed" vertical="center" indent="1"/>
      <protection locked="0"/>
    </xf>
    <xf numFmtId="0" fontId="7" fillId="2" borderId="0" xfId="0" applyFont="1" applyFill="1" applyAlignment="1" applyProtection="1">
      <alignment horizontal="distributed" vertical="center" indent="1"/>
      <protection locked="0"/>
    </xf>
    <xf numFmtId="0" fontId="7" fillId="2" borderId="20" xfId="0" applyFont="1" applyFill="1" applyBorder="1" applyAlignment="1" applyProtection="1">
      <alignment horizontal="distributed" vertical="center" indent="1"/>
      <protection locked="0"/>
    </xf>
    <xf numFmtId="0" fontId="7" fillId="2" borderId="65" xfId="0" applyFont="1" applyFill="1" applyBorder="1" applyAlignment="1" applyProtection="1">
      <alignment horizontal="distributed" vertical="center" indent="1"/>
      <protection locked="0"/>
    </xf>
    <xf numFmtId="0" fontId="7" fillId="2" borderId="11" xfId="0" applyFont="1" applyFill="1" applyBorder="1" applyAlignment="1" applyProtection="1">
      <alignment horizontal="distributed" vertical="center" indent="1"/>
      <protection locked="0"/>
    </xf>
    <xf numFmtId="0" fontId="7" fillId="2" borderId="30" xfId="0" applyFont="1" applyFill="1" applyBorder="1" applyAlignment="1" applyProtection="1">
      <alignment horizontal="distributed" vertical="center" indent="1"/>
      <protection locked="0"/>
    </xf>
    <xf numFmtId="0" fontId="9" fillId="2" borderId="76" xfId="0" applyFont="1" applyFill="1" applyBorder="1" applyAlignment="1" applyProtection="1">
      <alignment horizontal="distributed" vertical="center" indent="1"/>
      <protection locked="0"/>
    </xf>
    <xf numFmtId="0" fontId="9" fillId="2" borderId="18" xfId="0" applyFont="1" applyFill="1" applyBorder="1" applyAlignment="1" applyProtection="1">
      <alignment horizontal="distributed" vertical="center" indent="1"/>
      <protection locked="0"/>
    </xf>
    <xf numFmtId="0" fontId="9" fillId="2" borderId="77" xfId="0" applyFont="1" applyFill="1" applyBorder="1" applyAlignment="1" applyProtection="1">
      <alignment horizontal="distributed" vertical="center" indent="1"/>
      <protection locked="0"/>
    </xf>
    <xf numFmtId="0" fontId="7" fillId="2" borderId="305" xfId="0" applyFont="1" applyFill="1" applyBorder="1" applyAlignment="1" applyProtection="1">
      <alignment horizontal="center" vertical="center"/>
      <protection locked="0"/>
    </xf>
    <xf numFmtId="0" fontId="7" fillId="2" borderId="306" xfId="0" applyFont="1" applyFill="1" applyBorder="1" applyAlignment="1" applyProtection="1">
      <alignment horizontal="center" vertical="center"/>
      <protection locked="0"/>
    </xf>
    <xf numFmtId="0" fontId="7" fillId="2" borderId="307" xfId="0" applyFont="1" applyFill="1" applyBorder="1" applyAlignment="1" applyProtection="1">
      <alignment horizontal="center" vertical="center"/>
      <protection locked="0"/>
    </xf>
    <xf numFmtId="0" fontId="7" fillId="2" borderId="13" xfId="0" applyFont="1" applyFill="1" applyBorder="1" applyAlignment="1" applyProtection="1">
      <alignment horizontal="distributed" vertical="center" indent="1"/>
      <protection locked="0"/>
    </xf>
    <xf numFmtId="0" fontId="7" fillId="2" borderId="52" xfId="0" applyFont="1" applyFill="1" applyBorder="1" applyAlignment="1" applyProtection="1">
      <alignment horizontal="distributed" vertical="center" indent="1"/>
      <protection locked="0"/>
    </xf>
    <xf numFmtId="0" fontId="7" fillId="2" borderId="28" xfId="0" applyFont="1" applyFill="1" applyBorder="1" applyAlignment="1" applyProtection="1">
      <alignment horizontal="distributed" vertical="center" indent="1"/>
      <protection locked="0"/>
    </xf>
    <xf numFmtId="0" fontId="7" fillId="2" borderId="323" xfId="0" applyFont="1" applyFill="1" applyBorder="1" applyAlignment="1" applyProtection="1">
      <alignment horizontal="distributed" vertical="center" indent="1"/>
      <protection locked="0"/>
    </xf>
    <xf numFmtId="178" fontId="7" fillId="2" borderId="57" xfId="0" applyNumberFormat="1" applyFont="1" applyFill="1" applyBorder="1" applyAlignment="1" applyProtection="1">
      <alignment horizontal="center" vertical="center"/>
      <protection locked="0"/>
    </xf>
    <xf numFmtId="178" fontId="7" fillId="2" borderId="58" xfId="0" applyNumberFormat="1" applyFont="1" applyFill="1" applyBorder="1" applyAlignment="1" applyProtection="1">
      <alignment horizontal="center" vertical="center"/>
      <protection locked="0"/>
    </xf>
    <xf numFmtId="0" fontId="7" fillId="2" borderId="253" xfId="0" applyFont="1" applyFill="1" applyBorder="1" applyAlignment="1" applyProtection="1">
      <alignment horizontal="center" vertical="center"/>
      <protection locked="0"/>
    </xf>
    <xf numFmtId="0" fontId="7" fillId="2" borderId="247" xfId="0" applyFont="1" applyFill="1" applyBorder="1" applyAlignment="1" applyProtection="1">
      <alignment horizontal="center" vertical="center"/>
      <protection locked="0"/>
    </xf>
    <xf numFmtId="0" fontId="7" fillId="2" borderId="248" xfId="0" applyFont="1" applyFill="1" applyBorder="1" applyAlignment="1" applyProtection="1">
      <alignment horizontal="center" vertical="center"/>
      <protection locked="0"/>
    </xf>
    <xf numFmtId="0" fontId="7" fillId="2" borderId="255" xfId="0" applyFont="1" applyFill="1" applyBorder="1" applyAlignment="1" applyProtection="1">
      <alignment horizontal="center" vertical="center"/>
      <protection locked="0"/>
    </xf>
    <xf numFmtId="20" fontId="7" fillId="2" borderId="250" xfId="0" applyNumberFormat="1" applyFont="1" applyFill="1" applyBorder="1" applyAlignment="1" applyProtection="1">
      <alignment horizontal="center" vertical="center"/>
      <protection locked="0"/>
    </xf>
    <xf numFmtId="0" fontId="7" fillId="2" borderId="244" xfId="0" applyFont="1" applyFill="1" applyBorder="1" applyAlignment="1" applyProtection="1">
      <alignment horizontal="center" vertical="center"/>
      <protection locked="0"/>
    </xf>
    <xf numFmtId="0" fontId="7" fillId="2" borderId="245" xfId="0" applyFont="1" applyFill="1" applyBorder="1" applyAlignment="1" applyProtection="1">
      <alignment horizontal="center" vertical="center"/>
      <protection locked="0"/>
    </xf>
    <xf numFmtId="0" fontId="7" fillId="2" borderId="254" xfId="0" applyFont="1" applyFill="1" applyBorder="1" applyAlignment="1" applyProtection="1">
      <alignment horizontal="center" vertical="center"/>
      <protection locked="0"/>
    </xf>
    <xf numFmtId="0" fontId="7" fillId="2" borderId="240" xfId="0" applyFont="1" applyFill="1" applyBorder="1" applyAlignment="1" applyProtection="1">
      <alignment horizontal="center" vertical="center"/>
      <protection locked="0"/>
    </xf>
    <xf numFmtId="0" fontId="7" fillId="2" borderId="251"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protection locked="0"/>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189" fontId="7" fillId="2" borderId="40" xfId="0" applyNumberFormat="1" applyFont="1" applyFill="1" applyBorder="1" applyAlignment="1">
      <alignment horizontal="center" vertical="center" shrinkToFit="1"/>
    </xf>
    <xf numFmtId="189" fontId="7" fillId="2" borderId="19" xfId="0" applyNumberFormat="1" applyFont="1" applyFill="1" applyBorder="1" applyAlignment="1">
      <alignment horizontal="center" vertical="center" shrinkToFit="1"/>
    </xf>
    <xf numFmtId="189" fontId="7" fillId="2" borderId="41" xfId="0" applyNumberFormat="1" applyFont="1" applyFill="1" applyBorder="1" applyAlignment="1">
      <alignment horizontal="center" vertical="center" shrinkToFit="1"/>
    </xf>
    <xf numFmtId="189" fontId="7" fillId="2" borderId="65" xfId="0" applyNumberFormat="1" applyFont="1" applyFill="1" applyBorder="1" applyAlignment="1">
      <alignment horizontal="center" vertical="center" shrinkToFit="1"/>
    </xf>
    <xf numFmtId="41" fontId="7" fillId="2" borderId="269" xfId="0" applyNumberFormat="1" applyFont="1" applyFill="1" applyBorder="1" applyAlignment="1">
      <alignment horizontal="center" vertical="center"/>
    </xf>
    <xf numFmtId="41" fontId="7" fillId="2" borderId="35" xfId="0" applyNumberFormat="1" applyFont="1" applyFill="1" applyBorder="1" applyAlignment="1">
      <alignment horizontal="center" vertical="center"/>
    </xf>
    <xf numFmtId="41" fontId="7" fillId="2" borderId="325" xfId="0" applyNumberFormat="1" applyFont="1" applyFill="1" applyBorder="1" applyAlignment="1">
      <alignment horizontal="center" vertical="center"/>
    </xf>
    <xf numFmtId="41" fontId="7" fillId="2" borderId="20" xfId="0" applyNumberFormat="1" applyFont="1" applyFill="1" applyBorder="1" applyAlignment="1">
      <alignment horizontal="center" vertical="center"/>
    </xf>
    <xf numFmtId="189" fontId="7" fillId="2" borderId="62" xfId="0" applyNumberFormat="1" applyFont="1" applyFill="1" applyBorder="1" applyAlignment="1">
      <alignment horizontal="center" vertical="center" shrinkToFit="1"/>
    </xf>
    <xf numFmtId="41" fontId="7" fillId="2" borderId="330" xfId="0" applyNumberFormat="1" applyFont="1" applyFill="1" applyBorder="1" applyAlignment="1">
      <alignment horizontal="center" vertical="center"/>
    </xf>
    <xf numFmtId="41" fontId="7" fillId="2" borderId="48" xfId="0" applyNumberFormat="1" applyFont="1" applyFill="1" applyBorder="1" applyAlignment="1">
      <alignment horizontal="center" vertical="center"/>
    </xf>
    <xf numFmtId="41" fontId="7" fillId="2" borderId="331" xfId="0" applyNumberFormat="1" applyFont="1" applyFill="1" applyBorder="1" applyAlignment="1">
      <alignment horizontal="center" vertical="center"/>
    </xf>
    <xf numFmtId="41" fontId="7" fillId="2" borderId="30" xfId="0" applyNumberFormat="1" applyFont="1" applyFill="1" applyBorder="1" applyAlignment="1">
      <alignment horizontal="center" vertical="center"/>
    </xf>
    <xf numFmtId="181" fontId="7" fillId="2" borderId="9" xfId="0" applyNumberFormat="1" applyFont="1" applyFill="1" applyBorder="1" applyAlignment="1">
      <alignment horizontal="center" vertical="center" shrinkToFit="1"/>
    </xf>
    <xf numFmtId="0" fontId="7" fillId="0" borderId="256" xfId="0" applyFont="1" applyBorder="1" applyAlignment="1">
      <alignment horizontal="center" vertical="center"/>
    </xf>
    <xf numFmtId="0" fontId="7" fillId="0" borderId="257" xfId="0" applyFont="1" applyBorder="1" applyAlignment="1">
      <alignment horizontal="center" vertical="center"/>
    </xf>
    <xf numFmtId="0" fontId="7" fillId="0" borderId="258" xfId="0" applyFont="1" applyBorder="1" applyAlignment="1">
      <alignment horizontal="center" vertical="center"/>
    </xf>
    <xf numFmtId="41" fontId="7" fillId="11" borderId="218" xfId="0" applyNumberFormat="1" applyFont="1" applyFill="1" applyBorder="1" applyAlignment="1">
      <alignment horizontal="center" vertical="center"/>
    </xf>
    <xf numFmtId="41" fontId="7" fillId="11" borderId="220" xfId="0" applyNumberFormat="1" applyFont="1" applyFill="1" applyBorder="1" applyAlignment="1">
      <alignment horizontal="center" vertical="center"/>
    </xf>
    <xf numFmtId="41" fontId="7" fillId="2" borderId="271" xfId="0" applyNumberFormat="1" applyFont="1" applyFill="1" applyBorder="1" applyAlignment="1">
      <alignment horizontal="center" vertical="center"/>
    </xf>
    <xf numFmtId="41" fontId="7" fillId="2" borderId="32" xfId="0" applyNumberFormat="1" applyFont="1" applyFill="1" applyBorder="1" applyAlignment="1">
      <alignment horizontal="center" vertical="center"/>
    </xf>
    <xf numFmtId="41" fontId="7" fillId="2" borderId="327" xfId="0" applyNumberFormat="1" applyFont="1" applyFill="1" applyBorder="1" applyAlignment="1">
      <alignment horizontal="center" vertical="center"/>
    </xf>
    <xf numFmtId="41" fontId="7" fillId="2" borderId="61" xfId="0" applyNumberFormat="1" applyFont="1" applyFill="1" applyBorder="1" applyAlignment="1">
      <alignment horizontal="center" vertical="center"/>
    </xf>
    <xf numFmtId="41" fontId="7" fillId="2" borderId="328" xfId="0" applyNumberFormat="1" applyFont="1" applyFill="1" applyBorder="1" applyAlignment="1">
      <alignment horizontal="center" vertical="center"/>
    </xf>
    <xf numFmtId="41" fontId="7" fillId="2" borderId="329" xfId="0" applyNumberFormat="1" applyFont="1" applyFill="1" applyBorder="1" applyAlignment="1">
      <alignment horizontal="center" vertical="center"/>
    </xf>
    <xf numFmtId="0" fontId="7" fillId="2" borderId="269" xfId="0" applyFont="1" applyFill="1" applyBorder="1" applyAlignment="1">
      <alignment horizontal="center" vertical="center"/>
    </xf>
    <xf numFmtId="0" fontId="7" fillId="2" borderId="326" xfId="0" applyFont="1" applyFill="1" applyBorder="1" applyAlignment="1">
      <alignment horizontal="center" vertical="center"/>
    </xf>
    <xf numFmtId="38" fontId="18" fillId="0" borderId="15" xfId="5" applyFont="1" applyFill="1" applyBorder="1" applyAlignment="1" applyProtection="1">
      <alignment horizontal="center" vertical="center"/>
    </xf>
    <xf numFmtId="38" fontId="18" fillId="0" borderId="24" xfId="5" applyFont="1" applyFill="1" applyBorder="1" applyAlignment="1" applyProtection="1">
      <alignment horizontal="center" vertical="center"/>
    </xf>
    <xf numFmtId="38" fontId="18" fillId="0" borderId="50" xfId="5" applyFont="1" applyFill="1" applyBorder="1" applyAlignment="1" applyProtection="1">
      <alignment horizontal="center" vertical="center"/>
    </xf>
    <xf numFmtId="38" fontId="18" fillId="0" borderId="319" xfId="5" applyFont="1" applyFill="1" applyBorder="1" applyAlignment="1" applyProtection="1">
      <alignment horizontal="center" vertical="center"/>
    </xf>
    <xf numFmtId="38" fontId="18" fillId="0" borderId="44" xfId="5" applyFont="1" applyFill="1" applyBorder="1" applyAlignment="1" applyProtection="1">
      <alignment horizontal="center" vertical="center"/>
    </xf>
    <xf numFmtId="38" fontId="18" fillId="0" borderId="337" xfId="5" applyFont="1" applyFill="1" applyBorder="1" applyAlignment="1" applyProtection="1">
      <alignment horizontal="center" vertical="center"/>
    </xf>
    <xf numFmtId="0" fontId="18" fillId="0" borderId="218" xfId="0" applyFont="1" applyBorder="1" applyAlignment="1">
      <alignment horizontal="center" vertical="center"/>
    </xf>
    <xf numFmtId="0" fontId="18" fillId="0" borderId="219" xfId="0" applyFont="1" applyBorder="1" applyAlignment="1">
      <alignment horizontal="center" vertical="center"/>
    </xf>
    <xf numFmtId="0" fontId="18" fillId="0" borderId="220" xfId="0" applyFont="1" applyBorder="1" applyAlignment="1">
      <alignment horizontal="center" vertical="center"/>
    </xf>
    <xf numFmtId="3" fontId="18" fillId="0" borderId="82" xfId="0" applyNumberFormat="1" applyFont="1" applyBorder="1" applyAlignment="1">
      <alignment horizontal="right" vertical="center"/>
    </xf>
    <xf numFmtId="3" fontId="18" fillId="0" borderId="3" xfId="0" applyNumberFormat="1" applyFont="1" applyBorder="1" applyAlignment="1">
      <alignment horizontal="right" vertical="center"/>
    </xf>
    <xf numFmtId="38" fontId="18" fillId="0" borderId="287" xfId="5" applyFont="1" applyFill="1" applyBorder="1" applyAlignment="1" applyProtection="1">
      <alignment horizontal="center" vertical="center"/>
    </xf>
    <xf numFmtId="38" fontId="18" fillId="0" borderId="288" xfId="5" applyFont="1" applyFill="1" applyBorder="1" applyAlignment="1" applyProtection="1">
      <alignment horizontal="center" vertical="center"/>
    </xf>
    <xf numFmtId="38" fontId="18" fillId="0" borderId="55" xfId="5" applyFont="1" applyFill="1" applyBorder="1" applyAlignment="1" applyProtection="1">
      <alignment horizontal="center" vertical="center"/>
    </xf>
    <xf numFmtId="38" fontId="18" fillId="0" borderId="56" xfId="5" applyFont="1" applyFill="1" applyBorder="1" applyAlignment="1" applyProtection="1">
      <alignment horizontal="center" vertical="center"/>
    </xf>
    <xf numFmtId="38" fontId="18" fillId="0" borderId="340" xfId="5" applyFont="1" applyFill="1" applyBorder="1" applyAlignment="1" applyProtection="1">
      <alignment horizontal="center" vertical="center"/>
    </xf>
    <xf numFmtId="3" fontId="18" fillId="0" borderId="341" xfId="0" applyNumberFormat="1" applyFont="1" applyBorder="1" applyAlignment="1">
      <alignment horizontal="right" vertical="center"/>
    </xf>
    <xf numFmtId="3" fontId="18" fillId="0" borderId="342" xfId="0" applyNumberFormat="1" applyFont="1" applyBorder="1" applyAlignment="1">
      <alignment horizontal="right" vertical="center"/>
    </xf>
    <xf numFmtId="38" fontId="18" fillId="0" borderId="343" xfId="5" applyFont="1" applyFill="1" applyBorder="1" applyAlignment="1" applyProtection="1">
      <alignment horizontal="center" vertical="center"/>
    </xf>
    <xf numFmtId="38" fontId="18" fillId="0" borderId="344" xfId="5" applyFont="1" applyFill="1" applyBorder="1" applyAlignment="1" applyProtection="1">
      <alignment horizontal="center" vertical="center"/>
    </xf>
    <xf numFmtId="38" fontId="18" fillId="0" borderId="345" xfId="5" applyFont="1" applyFill="1" applyBorder="1" applyAlignment="1" applyProtection="1">
      <alignment horizontal="center" vertical="center"/>
    </xf>
    <xf numFmtId="38" fontId="18" fillId="0" borderId="346" xfId="5" applyFont="1" applyFill="1" applyBorder="1" applyAlignment="1" applyProtection="1">
      <alignment horizontal="center" vertical="center"/>
    </xf>
    <xf numFmtId="38" fontId="18" fillId="0" borderId="347" xfId="5" applyFont="1" applyFill="1" applyBorder="1" applyAlignment="1" applyProtection="1">
      <alignment horizontal="center" vertical="center"/>
    </xf>
    <xf numFmtId="0" fontId="18" fillId="0" borderId="40" xfId="0" applyFont="1" applyBorder="1" applyAlignment="1">
      <alignment horizontal="center" vertical="center"/>
    </xf>
    <xf numFmtId="0" fontId="18" fillId="0" borderId="29" xfId="0" applyFont="1" applyBorder="1" applyAlignment="1">
      <alignment horizontal="center" vertical="center"/>
    </xf>
    <xf numFmtId="0" fontId="18" fillId="0" borderId="42" xfId="0" applyFont="1" applyBorder="1" applyAlignment="1">
      <alignment horizontal="center" vertical="center"/>
    </xf>
    <xf numFmtId="0" fontId="18" fillId="0" borderId="38" xfId="0" applyFont="1" applyBorder="1" applyAlignment="1">
      <alignment horizontal="center" vertical="center"/>
    </xf>
    <xf numFmtId="0" fontId="18" fillId="0" borderId="269" xfId="0" applyFont="1" applyBorder="1" applyAlignment="1">
      <alignment horizontal="center" vertical="center"/>
    </xf>
    <xf numFmtId="0" fontId="18" fillId="0" borderId="35" xfId="0" applyFont="1" applyBorder="1" applyAlignment="1">
      <alignment horizontal="center" vertical="center"/>
    </xf>
    <xf numFmtId="0" fontId="18" fillId="0" borderId="281" xfId="0" applyFont="1" applyBorder="1" applyAlignment="1">
      <alignment horizontal="center" vertical="center"/>
    </xf>
    <xf numFmtId="0" fontId="18" fillId="0" borderId="282" xfId="0" applyFont="1" applyBorder="1" applyAlignment="1">
      <alignment horizontal="center" vertical="center"/>
    </xf>
    <xf numFmtId="0" fontId="18" fillId="0" borderId="296" xfId="0" applyFont="1" applyBorder="1" applyAlignment="1">
      <alignment horizontal="center" vertical="center"/>
    </xf>
    <xf numFmtId="0" fontId="18" fillId="0" borderId="300" xfId="0" applyFont="1" applyBorder="1" applyAlignment="1">
      <alignment horizontal="center" vertical="center"/>
    </xf>
    <xf numFmtId="0" fontId="18" fillId="0" borderId="338" xfId="0" applyFont="1" applyBorder="1" applyAlignment="1">
      <alignment horizontal="center" vertical="center"/>
    </xf>
    <xf numFmtId="3" fontId="18" fillId="0" borderId="63" xfId="0" applyNumberFormat="1" applyFont="1" applyBorder="1" applyAlignment="1">
      <alignment horizontal="right" vertical="center"/>
    </xf>
    <xf numFmtId="3" fontId="18" fillId="0" borderId="17" xfId="0" applyNumberFormat="1" applyFont="1" applyBorder="1" applyAlignment="1">
      <alignment horizontal="right" vertical="center"/>
    </xf>
    <xf numFmtId="38" fontId="18" fillId="0" borderId="284" xfId="5" applyFont="1" applyFill="1" applyBorder="1" applyAlignment="1" applyProtection="1">
      <alignment horizontal="center" vertical="center"/>
    </xf>
    <xf numFmtId="38" fontId="18" fillId="0" borderId="285" xfId="5" applyFont="1" applyFill="1" applyBorder="1" applyAlignment="1" applyProtection="1">
      <alignment horizontal="center" vertical="center"/>
    </xf>
    <xf numFmtId="38" fontId="18" fillId="0" borderId="311" xfId="5" applyFont="1" applyFill="1" applyBorder="1" applyAlignment="1" applyProtection="1">
      <alignment horizontal="center" vertical="center"/>
    </xf>
    <xf numFmtId="38" fontId="18" fillId="0" borderId="297" xfId="5" applyFont="1" applyFill="1" applyBorder="1" applyAlignment="1" applyProtection="1">
      <alignment horizontal="center" vertical="center"/>
    </xf>
    <xf numFmtId="38" fontId="18" fillId="0" borderId="238" xfId="5" applyFont="1" applyFill="1" applyBorder="1" applyAlignment="1" applyProtection="1">
      <alignment horizontal="center" vertical="center"/>
    </xf>
    <xf numFmtId="38" fontId="18" fillId="0" borderId="301" xfId="5" applyFont="1" applyFill="1" applyBorder="1" applyAlignment="1" applyProtection="1">
      <alignment horizontal="center" vertical="center"/>
    </xf>
    <xf numFmtId="38" fontId="18" fillId="0" borderId="339" xfId="5" applyFont="1" applyFill="1" applyBorder="1" applyAlignment="1" applyProtection="1">
      <alignment horizontal="center" vertical="center"/>
    </xf>
    <xf numFmtId="0" fontId="10" fillId="0" borderId="0" xfId="0" applyFont="1" applyAlignment="1">
      <alignment horizontal="center" vertical="center"/>
    </xf>
    <xf numFmtId="0" fontId="7" fillId="0" borderId="266" xfId="0" applyFont="1" applyBorder="1" applyAlignment="1">
      <alignment horizontal="center" vertical="center"/>
    </xf>
    <xf numFmtId="0" fontId="7" fillId="0" borderId="227" xfId="0" applyFont="1" applyBorder="1" applyAlignment="1">
      <alignment horizontal="center" vertical="center"/>
    </xf>
    <xf numFmtId="0" fontId="7" fillId="0" borderId="267" xfId="0" applyFont="1" applyBorder="1" applyAlignment="1">
      <alignment horizontal="center" vertical="center"/>
    </xf>
    <xf numFmtId="0" fontId="7" fillId="0" borderId="231"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268" xfId="0" applyFont="1" applyBorder="1" applyAlignment="1">
      <alignment horizontal="left" vertical="center"/>
    </xf>
    <xf numFmtId="0" fontId="7" fillId="0" borderId="227" xfId="0" applyFont="1" applyBorder="1" applyAlignment="1">
      <alignment horizontal="left" vertical="center"/>
    </xf>
    <xf numFmtId="0" fontId="7" fillId="0" borderId="228"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230" xfId="0" applyFont="1" applyBorder="1" applyAlignment="1">
      <alignment horizontal="left" vertical="center"/>
    </xf>
    <xf numFmtId="0" fontId="7" fillId="0" borderId="23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3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7" xfId="0" applyFont="1" applyBorder="1" applyAlignment="1">
      <alignment horizontal="left" vertical="center"/>
    </xf>
    <xf numFmtId="0" fontId="7" fillId="0" borderId="22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232" xfId="0" applyFont="1" applyBorder="1" applyAlignment="1">
      <alignment horizontal="left" vertical="center"/>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14" fontId="7" fillId="0" borderId="1" xfId="0" applyNumberFormat="1" applyFont="1" applyBorder="1" applyAlignment="1" applyProtection="1">
      <alignment horizontal="center" vertical="center" shrinkToFit="1"/>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23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229" xfId="0" applyFont="1" applyBorder="1">
      <alignment vertical="center"/>
    </xf>
    <xf numFmtId="0" fontId="8" fillId="0" borderId="232" xfId="0" applyFont="1" applyBorder="1">
      <alignment vertical="center"/>
    </xf>
    <xf numFmtId="0" fontId="7" fillId="0" borderId="234" xfId="0" applyFont="1" applyBorder="1" applyAlignment="1">
      <alignment horizontal="center" vertical="center"/>
    </xf>
    <xf numFmtId="0" fontId="7" fillId="0" borderId="13" xfId="0" applyFont="1" applyBorder="1" applyAlignment="1">
      <alignment horizontal="center" vertical="center"/>
    </xf>
    <xf numFmtId="0" fontId="7" fillId="0" borderId="235" xfId="0" applyFont="1" applyBorder="1" applyAlignment="1">
      <alignment horizontal="center" vertical="center"/>
    </xf>
    <xf numFmtId="0" fontId="7" fillId="0" borderId="14" xfId="0" applyFont="1" applyBorder="1" applyAlignment="1">
      <alignment horizontal="center" vertical="center"/>
    </xf>
    <xf numFmtId="0" fontId="7" fillId="0" borderId="263" xfId="0" applyFont="1" applyBorder="1" applyAlignment="1">
      <alignment horizontal="center" vertical="center"/>
    </xf>
    <xf numFmtId="0" fontId="7" fillId="0" borderId="264" xfId="0" applyFont="1" applyBorder="1" applyAlignment="1">
      <alignment horizontal="center" vertical="center"/>
    </xf>
    <xf numFmtId="0" fontId="7" fillId="0" borderId="236" xfId="0" applyFont="1" applyBorder="1" applyAlignment="1">
      <alignment horizontal="center" vertical="center"/>
    </xf>
    <xf numFmtId="0" fontId="7" fillId="0" borderId="236" xfId="0" applyFont="1" applyBorder="1" applyAlignment="1">
      <alignment horizontal="left" vertical="center"/>
    </xf>
    <xf numFmtId="0" fontId="9" fillId="0" borderId="236" xfId="0" applyFont="1" applyBorder="1" applyAlignment="1">
      <alignment horizontal="center" vertical="center" wrapText="1"/>
    </xf>
    <xf numFmtId="0" fontId="7" fillId="0" borderId="265" xfId="0" applyFont="1" applyBorder="1" applyAlignment="1">
      <alignment horizontal="left" vertical="center"/>
    </xf>
    <xf numFmtId="0" fontId="18" fillId="0" borderId="174" xfId="0" applyFont="1" applyBorder="1" applyAlignment="1">
      <alignment horizontal="center" vertical="center"/>
    </xf>
    <xf numFmtId="0" fontId="18" fillId="0" borderId="175" xfId="0" applyFont="1" applyBorder="1" applyAlignment="1">
      <alignment horizontal="center" vertical="center"/>
    </xf>
    <xf numFmtId="0" fontId="18" fillId="0" borderId="37" xfId="0" applyFont="1" applyBorder="1" applyAlignment="1">
      <alignment horizontal="center" vertical="center"/>
    </xf>
    <xf numFmtId="0" fontId="18" fillId="0" borderId="43" xfId="0" applyFont="1" applyBorder="1" applyAlignment="1">
      <alignment horizontal="center" vertical="center"/>
    </xf>
    <xf numFmtId="0" fontId="18" fillId="0" borderId="270" xfId="0" applyFont="1" applyBorder="1" applyAlignment="1">
      <alignment horizontal="center" vertical="center"/>
    </xf>
    <xf numFmtId="0" fontId="18" fillId="0" borderId="49" xfId="0" applyFont="1" applyBorder="1" applyAlignment="1">
      <alignment horizontal="center" vertical="center"/>
    </xf>
    <xf numFmtId="0" fontId="18" fillId="0" borderId="283" xfId="0" applyFont="1" applyBorder="1" applyAlignment="1">
      <alignment horizontal="center" vertical="center"/>
    </xf>
    <xf numFmtId="0" fontId="18" fillId="0" borderId="63" xfId="0" applyFont="1" applyBorder="1" applyAlignment="1">
      <alignment horizontal="center" vertical="center" textRotation="255"/>
    </xf>
    <xf numFmtId="0" fontId="18" fillId="0" borderId="82" xfId="0" applyFont="1" applyBorder="1" applyAlignment="1">
      <alignment horizontal="center" vertical="center" textRotation="255"/>
    </xf>
    <xf numFmtId="0" fontId="18" fillId="0" borderId="73" xfId="0" applyFont="1" applyBorder="1" applyAlignment="1">
      <alignment horizontal="left" vertical="center"/>
    </xf>
    <xf numFmtId="0" fontId="18" fillId="0" borderId="17"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73" xfId="0" applyFont="1" applyBorder="1" applyAlignment="1">
      <alignment horizontal="center" vertical="center"/>
    </xf>
    <xf numFmtId="0" fontId="18" fillId="0" borderId="17" xfId="0" applyFont="1" applyBorder="1" applyAlignment="1">
      <alignment horizontal="center" vertical="center"/>
    </xf>
    <xf numFmtId="0" fontId="18" fillId="0" borderId="275"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284" xfId="0" applyFont="1" applyBorder="1" applyAlignment="1">
      <alignment horizontal="center" vertical="center"/>
    </xf>
    <xf numFmtId="0" fontId="18" fillId="0" borderId="285" xfId="0" applyFont="1" applyBorder="1" applyAlignment="1">
      <alignment horizontal="center" vertical="center"/>
    </xf>
    <xf numFmtId="0" fontId="18" fillId="0" borderId="287" xfId="0" applyFont="1" applyBorder="1" applyAlignment="1">
      <alignment horizontal="center" vertical="center"/>
    </xf>
    <xf numFmtId="0" fontId="18" fillId="0" borderId="288" xfId="0" applyFont="1" applyBorder="1" applyAlignment="1">
      <alignment horizontal="center" vertical="center"/>
    </xf>
    <xf numFmtId="0" fontId="18" fillId="0" borderId="311" xfId="0" applyFont="1" applyBorder="1" applyAlignment="1">
      <alignment horizontal="center" vertical="center"/>
    </xf>
    <xf numFmtId="0" fontId="18" fillId="0" borderId="297" xfId="0" applyFont="1" applyBorder="1" applyAlignment="1">
      <alignment horizontal="center" vertical="center"/>
    </xf>
    <xf numFmtId="0" fontId="18" fillId="0" borderId="238" xfId="0" applyFont="1" applyBorder="1" applyAlignment="1">
      <alignment horizontal="center" vertical="center"/>
    </xf>
    <xf numFmtId="0" fontId="18" fillId="0" borderId="301" xfId="0" applyFont="1" applyBorder="1" applyAlignment="1">
      <alignment horizontal="center" vertical="center"/>
    </xf>
    <xf numFmtId="0" fontId="18" fillId="0" borderId="286" xfId="0" applyFont="1" applyBorder="1" applyAlignment="1">
      <alignment horizontal="center" vertical="center"/>
    </xf>
    <xf numFmtId="0" fontId="18" fillId="0" borderId="56" xfId="0" applyFont="1" applyBorder="1" applyAlignment="1">
      <alignment horizontal="center" vertical="center"/>
    </xf>
    <xf numFmtId="0" fontId="18" fillId="0" borderId="289" xfId="0" applyFont="1" applyBorder="1" applyAlignment="1">
      <alignment horizontal="center" vertical="center"/>
    </xf>
    <xf numFmtId="0" fontId="18" fillId="0" borderId="55" xfId="0" applyFont="1" applyBorder="1" applyAlignment="1">
      <alignment horizontal="center" vertical="center"/>
    </xf>
    <xf numFmtId="41" fontId="18" fillId="0" borderId="17" xfId="0" applyNumberFormat="1" applyFont="1" applyBorder="1" applyAlignment="1">
      <alignment horizontal="right" vertical="center"/>
    </xf>
    <xf numFmtId="41" fontId="18" fillId="0" borderId="72" xfId="0" applyNumberFormat="1" applyFont="1" applyBorder="1" applyAlignment="1">
      <alignment horizontal="right" vertical="center"/>
    </xf>
    <xf numFmtId="41" fontId="18" fillId="0" borderId="3" xfId="0" applyNumberFormat="1" applyFont="1" applyBorder="1" applyAlignment="1">
      <alignment horizontal="right" vertical="center"/>
    </xf>
    <xf numFmtId="41" fontId="18" fillId="0" borderId="83" xfId="0" applyNumberFormat="1" applyFont="1" applyBorder="1" applyAlignment="1">
      <alignment horizontal="right" vertical="center"/>
    </xf>
    <xf numFmtId="0" fontId="18" fillId="0" borderId="4" xfId="0" applyFont="1" applyBorder="1" applyAlignment="1">
      <alignment horizontal="left" vertical="center"/>
    </xf>
    <xf numFmtId="0" fontId="18" fillId="0" borderId="19" xfId="0" applyFont="1" applyBorder="1" applyAlignment="1">
      <alignment horizontal="center" vertical="center" textRotation="255"/>
    </xf>
    <xf numFmtId="0" fontId="18" fillId="0" borderId="4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175" xfId="0" applyFont="1" applyBorder="1" applyAlignment="1">
      <alignment horizontal="center" vertical="center" wrapText="1"/>
    </xf>
    <xf numFmtId="0" fontId="18" fillId="0" borderId="62"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276" xfId="0" applyFont="1" applyBorder="1" applyAlignment="1">
      <alignment horizontal="left" vertical="center"/>
    </xf>
    <xf numFmtId="0" fontId="18" fillId="0" borderId="277" xfId="0" applyFont="1" applyBorder="1" applyAlignment="1">
      <alignment horizontal="left" vertical="center"/>
    </xf>
    <xf numFmtId="0" fontId="18" fillId="0" borderId="276" xfId="0" applyFont="1" applyBorder="1" applyAlignment="1">
      <alignment horizontal="center" vertical="center"/>
    </xf>
    <xf numFmtId="0" fontId="18" fillId="0" borderId="277" xfId="0" applyFont="1" applyBorder="1" applyAlignment="1">
      <alignment horizontal="center" vertical="center"/>
    </xf>
    <xf numFmtId="0" fontId="18" fillId="0" borderId="278" xfId="0" applyFont="1" applyBorder="1" applyAlignment="1">
      <alignment horizontal="center" vertical="center"/>
    </xf>
    <xf numFmtId="3" fontId="18" fillId="0" borderId="277" xfId="0" applyNumberFormat="1" applyFont="1" applyBorder="1" applyAlignment="1">
      <alignment horizontal="right" vertical="center"/>
    </xf>
    <xf numFmtId="0" fontId="18" fillId="0" borderId="302" xfId="0" applyFont="1" applyBorder="1" applyAlignment="1">
      <alignment horizontal="center" vertical="center"/>
    </xf>
    <xf numFmtId="0" fontId="18" fillId="0" borderId="292" xfId="0" applyFont="1" applyBorder="1" applyAlignment="1">
      <alignment horizontal="center" vertical="center"/>
    </xf>
    <xf numFmtId="41" fontId="18" fillId="0" borderId="277" xfId="0" applyNumberFormat="1" applyFont="1" applyBorder="1" applyAlignment="1">
      <alignment horizontal="right" vertical="center"/>
    </xf>
    <xf numFmtId="41" fontId="18" fillId="0" borderId="279" xfId="0" applyNumberFormat="1" applyFont="1" applyBorder="1" applyAlignment="1">
      <alignment horizontal="right" vertical="center"/>
    </xf>
    <xf numFmtId="0" fontId="7" fillId="0" borderId="1" xfId="0" applyFont="1" applyBorder="1" applyAlignment="1">
      <alignment horizontal="center" vertical="center" shrinkToFit="1"/>
    </xf>
    <xf numFmtId="0" fontId="7" fillId="0" borderId="1" xfId="0" applyFont="1" applyBorder="1" applyAlignment="1">
      <alignment horizontal="center" vertical="center" wrapText="1"/>
    </xf>
    <xf numFmtId="0" fontId="18" fillId="0" borderId="75" xfId="0" applyFont="1" applyBorder="1" applyAlignment="1">
      <alignment horizontal="center" vertical="center"/>
    </xf>
    <xf numFmtId="0" fontId="18" fillId="0" borderId="18" xfId="0" applyFont="1" applyBorder="1" applyAlignment="1">
      <alignment horizontal="center" vertical="center"/>
    </xf>
    <xf numFmtId="0" fontId="18" fillId="0" borderId="62" xfId="0" applyFont="1" applyBorder="1" applyAlignment="1">
      <alignment horizontal="center" vertical="center"/>
    </xf>
    <xf numFmtId="0" fontId="18" fillId="0" borderId="27" xfId="0" applyFont="1" applyBorder="1" applyAlignment="1">
      <alignment horizontal="center" vertical="center"/>
    </xf>
    <xf numFmtId="0" fontId="18" fillId="0" borderId="273" xfId="0" applyFont="1" applyBorder="1" applyAlignment="1">
      <alignment horizontal="center" vertical="center"/>
    </xf>
    <xf numFmtId="0" fontId="18" fillId="0" borderId="271" xfId="0" applyFont="1" applyBorder="1" applyAlignment="1">
      <alignment horizontal="center" vertical="center"/>
    </xf>
    <xf numFmtId="0" fontId="18" fillId="0" borderId="293" xfId="0" applyFont="1" applyBorder="1" applyAlignment="1">
      <alignment horizontal="center" vertical="center"/>
    </xf>
    <xf numFmtId="0" fontId="18" fillId="0" borderId="295" xfId="0" applyFont="1" applyBorder="1" applyAlignment="1">
      <alignment horizontal="center" vertical="center"/>
    </xf>
    <xf numFmtId="0" fontId="18" fillId="0" borderId="294" xfId="0" applyFont="1" applyBorder="1" applyAlignment="1">
      <alignment horizontal="center" vertical="center"/>
    </xf>
    <xf numFmtId="0" fontId="18" fillId="0" borderId="241" xfId="0" applyFont="1" applyBorder="1" applyAlignment="1">
      <alignment horizontal="center" vertical="center"/>
    </xf>
    <xf numFmtId="0" fontId="18" fillId="0" borderId="76" xfId="0" applyFont="1" applyBorder="1" applyAlignment="1">
      <alignment horizontal="center" vertical="center"/>
    </xf>
    <xf numFmtId="0" fontId="18" fillId="0" borderId="274" xfId="0" applyFont="1" applyBorder="1" applyAlignment="1">
      <alignment horizontal="center" vertical="center"/>
    </xf>
    <xf numFmtId="0" fontId="18" fillId="0" borderId="26" xfId="0" applyFont="1" applyBorder="1" applyAlignment="1">
      <alignment horizontal="center" vertical="center"/>
    </xf>
    <xf numFmtId="0" fontId="18" fillId="0" borderId="272" xfId="0" applyFont="1" applyBorder="1" applyAlignment="1">
      <alignment horizontal="center" vertical="center"/>
    </xf>
    <xf numFmtId="41" fontId="18" fillId="0" borderId="18" xfId="0" applyNumberFormat="1" applyFont="1" applyBorder="1" applyAlignment="1">
      <alignment horizontal="right" vertical="center"/>
    </xf>
    <xf numFmtId="41" fontId="18" fillId="0" borderId="64" xfId="0" applyNumberFormat="1" applyFont="1" applyBorder="1" applyAlignment="1">
      <alignment horizontal="right" vertical="center"/>
    </xf>
    <xf numFmtId="41" fontId="18" fillId="0" borderId="27" xfId="0" applyNumberFormat="1" applyFont="1" applyBorder="1" applyAlignment="1">
      <alignment horizontal="right" vertical="center"/>
    </xf>
    <xf numFmtId="41" fontId="18" fillId="0" borderId="32" xfId="0" applyNumberFormat="1" applyFont="1" applyBorder="1" applyAlignment="1">
      <alignment horizontal="right" vertical="center"/>
    </xf>
    <xf numFmtId="0" fontId="7" fillId="2" borderId="75"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45" xfId="0" applyFont="1" applyFill="1" applyBorder="1" applyAlignment="1" applyProtection="1">
      <alignment horizontal="center" vertical="center"/>
      <protection locked="0"/>
    </xf>
    <xf numFmtId="0" fontId="7" fillId="2" borderId="46" xfId="0" applyFont="1" applyFill="1" applyBorder="1" applyAlignment="1" applyProtection="1">
      <alignment horizontal="center" vertical="center"/>
      <protection locked="0"/>
    </xf>
    <xf numFmtId="3" fontId="7" fillId="2" borderId="76" xfId="0" applyNumberFormat="1" applyFont="1" applyFill="1" applyBorder="1" applyAlignment="1" applyProtection="1">
      <alignment horizontal="center" vertical="center"/>
      <protection locked="0"/>
    </xf>
    <xf numFmtId="3" fontId="7" fillId="2" borderId="18" xfId="0" applyNumberFormat="1" applyFont="1" applyFill="1" applyBorder="1" applyAlignment="1" applyProtection="1">
      <alignment horizontal="center" vertical="center"/>
      <protection locked="0"/>
    </xf>
    <xf numFmtId="3" fontId="7" fillId="2" borderId="64" xfId="0" applyNumberFormat="1" applyFont="1" applyFill="1" applyBorder="1" applyAlignment="1" applyProtection="1">
      <alignment horizontal="center" vertical="center"/>
      <protection locked="0"/>
    </xf>
    <xf numFmtId="3" fontId="7" fillId="2" borderId="31" xfId="0" applyNumberFormat="1" applyFont="1" applyFill="1" applyBorder="1" applyAlignment="1" applyProtection="1">
      <alignment horizontal="center" vertical="center"/>
      <protection locked="0"/>
    </xf>
    <xf numFmtId="3" fontId="7" fillId="2" borderId="46" xfId="0" applyNumberFormat="1" applyFont="1" applyFill="1" applyBorder="1" applyAlignment="1" applyProtection="1">
      <alignment horizontal="center" vertical="center"/>
      <protection locked="0"/>
    </xf>
    <xf numFmtId="3" fontId="7" fillId="2" borderId="47" xfId="0" applyNumberFormat="1" applyFont="1" applyFill="1" applyBorder="1" applyAlignment="1" applyProtection="1">
      <alignment horizontal="center" vertical="center"/>
      <protection locked="0"/>
    </xf>
    <xf numFmtId="188" fontId="7" fillId="3" borderId="75" xfId="0" applyNumberFormat="1" applyFont="1" applyFill="1" applyBorder="1" applyAlignment="1" applyProtection="1">
      <alignment horizontal="center" vertical="center" shrinkToFit="1"/>
      <protection locked="0"/>
    </xf>
    <xf numFmtId="188" fontId="7" fillId="3" borderId="18" xfId="0" applyNumberFormat="1" applyFont="1" applyFill="1" applyBorder="1" applyAlignment="1" applyProtection="1">
      <alignment horizontal="center" vertical="center" shrinkToFit="1"/>
      <protection locked="0"/>
    </xf>
    <xf numFmtId="188" fontId="7" fillId="3" borderId="77" xfId="0" applyNumberFormat="1" applyFont="1" applyFill="1" applyBorder="1" applyAlignment="1" applyProtection="1">
      <alignment horizontal="center" vertical="center" shrinkToFit="1"/>
      <protection locked="0"/>
    </xf>
    <xf numFmtId="188" fontId="7" fillId="3" borderId="62" xfId="0" applyNumberFormat="1" applyFont="1" applyFill="1" applyBorder="1" applyAlignment="1" applyProtection="1">
      <alignment horizontal="center" vertical="center" shrinkToFit="1"/>
      <protection locked="0"/>
    </xf>
    <xf numFmtId="188" fontId="7" fillId="3" borderId="27" xfId="0" applyNumberFormat="1" applyFont="1" applyFill="1" applyBorder="1" applyAlignment="1" applyProtection="1">
      <alignment horizontal="center" vertical="center" shrinkToFit="1"/>
      <protection locked="0"/>
    </xf>
    <xf numFmtId="188" fontId="7" fillId="3" borderId="33" xfId="0" applyNumberFormat="1" applyFont="1" applyFill="1" applyBorder="1" applyAlignment="1" applyProtection="1">
      <alignment horizontal="center" vertical="center" shrinkToFit="1"/>
      <protection locked="0"/>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14" fontId="7" fillId="3" borderId="1" xfId="0" applyNumberFormat="1" applyFont="1" applyFill="1" applyBorder="1" applyAlignment="1" applyProtection="1">
      <alignment horizontal="center" vertical="center" shrinkToFit="1"/>
      <protection locked="0"/>
    </xf>
    <xf numFmtId="0" fontId="7" fillId="3" borderId="8" xfId="0" applyFont="1" applyFill="1" applyBorder="1" applyAlignment="1" applyProtection="1">
      <alignment horizontal="center" vertical="center"/>
      <protection locked="0"/>
    </xf>
    <xf numFmtId="0" fontId="7" fillId="2" borderId="5" xfId="0" applyFont="1" applyFill="1" applyBorder="1" applyAlignment="1">
      <alignment horizontal="center" vertical="center"/>
    </xf>
    <xf numFmtId="0" fontId="7" fillId="2" borderId="174" xfId="0" applyFont="1" applyFill="1" applyBorder="1" applyAlignment="1">
      <alignment horizontal="left" vertical="center"/>
    </xf>
    <xf numFmtId="0" fontId="7" fillId="2" borderId="29" xfId="0" applyFont="1" applyFill="1" applyBorder="1" applyAlignment="1">
      <alignment horizontal="left" vertical="center"/>
    </xf>
    <xf numFmtId="0" fontId="7" fillId="2" borderId="35" xfId="0" applyFont="1" applyFill="1" applyBorder="1" applyAlignment="1">
      <alignment horizontal="left" vertical="center"/>
    </xf>
    <xf numFmtId="0" fontId="7" fillId="2" borderId="5" xfId="0" applyFont="1" applyFill="1" applyBorder="1" applyAlignment="1">
      <alignment horizontal="left" vertical="center"/>
    </xf>
    <xf numFmtId="0" fontId="7" fillId="2" borderId="20" xfId="0" applyFont="1" applyFill="1" applyBorder="1" applyAlignment="1">
      <alignment horizontal="left" vertical="center"/>
    </xf>
    <xf numFmtId="0" fontId="7" fillId="2" borderId="10" xfId="0" applyFont="1" applyFill="1" applyBorder="1" applyAlignment="1">
      <alignment horizontal="left" vertical="center"/>
    </xf>
    <xf numFmtId="0" fontId="7" fillId="2" borderId="11" xfId="0" applyFont="1" applyFill="1" applyBorder="1" applyAlignment="1">
      <alignment horizontal="left" vertical="center"/>
    </xf>
    <xf numFmtId="0" fontId="7" fillId="2" borderId="30" xfId="0" applyFont="1" applyFill="1" applyBorder="1" applyAlignment="1">
      <alignment horizontal="left" vertical="center"/>
    </xf>
    <xf numFmtId="0" fontId="8" fillId="2" borderId="6" xfId="0" applyFont="1" applyFill="1" applyBorder="1">
      <alignment vertical="center"/>
    </xf>
    <xf numFmtId="0" fontId="8" fillId="2" borderId="7" xfId="0" applyFont="1" applyFill="1" applyBorder="1">
      <alignment vertical="center"/>
    </xf>
    <xf numFmtId="0" fontId="8" fillId="2" borderId="8" xfId="0" applyFont="1" applyFill="1" applyBorder="1">
      <alignment vertical="center"/>
    </xf>
    <xf numFmtId="0" fontId="8" fillId="2" borderId="10"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8" fillId="4" borderId="6" xfId="0" applyFont="1" applyFill="1" applyBorder="1">
      <alignment vertical="center"/>
    </xf>
    <xf numFmtId="0" fontId="8" fillId="4" borderId="7" xfId="0" applyFont="1" applyFill="1" applyBorder="1">
      <alignment vertical="center"/>
    </xf>
    <xf numFmtId="0" fontId="8" fillId="4" borderId="48" xfId="0" applyFont="1" applyFill="1" applyBorder="1">
      <alignment vertical="center"/>
    </xf>
    <xf numFmtId="0" fontId="8" fillId="4" borderId="10" xfId="0" applyFont="1" applyFill="1" applyBorder="1">
      <alignment vertical="center"/>
    </xf>
    <xf numFmtId="0" fontId="8" fillId="4" borderId="11" xfId="0" applyFont="1" applyFill="1" applyBorder="1">
      <alignment vertical="center"/>
    </xf>
    <xf numFmtId="0" fontId="8" fillId="4" borderId="30" xfId="0" applyFont="1" applyFill="1" applyBorder="1">
      <alignment vertical="center"/>
    </xf>
    <xf numFmtId="0" fontId="7" fillId="2" borderId="50" xfId="0" applyFont="1" applyFill="1" applyBorder="1" applyAlignment="1">
      <alignment horizontal="center" vertical="center"/>
    </xf>
    <xf numFmtId="0" fontId="7" fillId="2" borderId="50" xfId="0" applyFont="1" applyFill="1" applyBorder="1" applyAlignment="1">
      <alignment horizontal="left" vertical="center"/>
    </xf>
    <xf numFmtId="0" fontId="7" fillId="2" borderId="319" xfId="0" applyFont="1" applyFill="1" applyBorder="1" applyAlignment="1">
      <alignment horizontal="left" vertical="center"/>
    </xf>
    <xf numFmtId="0" fontId="8" fillId="2" borderId="48" xfId="0" applyFont="1" applyFill="1" applyBorder="1">
      <alignment vertical="center"/>
    </xf>
    <xf numFmtId="0" fontId="8" fillId="2" borderId="30" xfId="0" applyFont="1" applyFill="1" applyBorder="1">
      <alignment vertical="center"/>
    </xf>
    <xf numFmtId="3" fontId="7" fillId="2" borderId="75" xfId="0" applyNumberFormat="1" applyFont="1" applyFill="1" applyBorder="1" applyAlignment="1" applyProtection="1">
      <alignment horizontal="center" vertical="center"/>
      <protection locked="0"/>
    </xf>
    <xf numFmtId="3" fontId="7" fillId="2" borderId="62" xfId="0" applyNumberFormat="1" applyFont="1" applyFill="1" applyBorder="1" applyAlignment="1" applyProtection="1">
      <alignment horizontal="center" vertical="center"/>
      <protection locked="0"/>
    </xf>
    <xf numFmtId="3" fontId="7" fillId="2" borderId="27" xfId="0" applyNumberFormat="1" applyFont="1" applyFill="1" applyBorder="1" applyAlignment="1" applyProtection="1">
      <alignment horizontal="center" vertical="center"/>
      <protection locked="0"/>
    </xf>
    <xf numFmtId="3" fontId="7" fillId="2" borderId="32" xfId="0" applyNumberFormat="1" applyFont="1" applyFill="1" applyBorder="1" applyAlignment="1" applyProtection="1">
      <alignment horizontal="center" vertical="center"/>
      <protection locked="0"/>
    </xf>
    <xf numFmtId="0" fontId="7" fillId="11" borderId="45" xfId="0" applyFont="1" applyFill="1" applyBorder="1" applyAlignment="1">
      <alignment horizontal="center" vertical="center"/>
    </xf>
    <xf numFmtId="0" fontId="7" fillId="11" borderId="46" xfId="0" applyFont="1" applyFill="1" applyBorder="1" applyAlignment="1">
      <alignment horizontal="center" vertical="center"/>
    </xf>
    <xf numFmtId="3" fontId="7" fillId="11" borderId="31" xfId="0" applyNumberFormat="1" applyFont="1" applyFill="1" applyBorder="1" applyAlignment="1">
      <alignment horizontal="center" vertical="center"/>
    </xf>
    <xf numFmtId="3" fontId="7" fillId="11" borderId="46" xfId="0" applyNumberFormat="1" applyFont="1" applyFill="1" applyBorder="1" applyAlignment="1">
      <alignment horizontal="center" vertical="center"/>
    </xf>
    <xf numFmtId="3" fontId="7" fillId="11" borderId="47" xfId="0" applyNumberFormat="1" applyFont="1" applyFill="1" applyBorder="1" applyAlignment="1">
      <alignment horizontal="center" vertical="center"/>
    </xf>
    <xf numFmtId="0" fontId="7" fillId="11" borderId="29" xfId="0" applyFont="1" applyFill="1" applyBorder="1" applyAlignment="1">
      <alignment horizontal="center" vertical="center"/>
    </xf>
    <xf numFmtId="0" fontId="7" fillId="11" borderId="35" xfId="0" applyFont="1" applyFill="1" applyBorder="1" applyAlignment="1">
      <alignment horizontal="center" vertical="center"/>
    </xf>
    <xf numFmtId="0" fontId="7" fillId="11" borderId="38" xfId="0" applyFont="1" applyFill="1" applyBorder="1" applyAlignment="1">
      <alignment horizontal="center" vertical="center"/>
    </xf>
    <xf numFmtId="0" fontId="7" fillId="11" borderId="49" xfId="0" applyFont="1" applyFill="1" applyBorder="1" applyAlignment="1">
      <alignment horizontal="center" vertical="center"/>
    </xf>
    <xf numFmtId="3" fontId="7" fillId="11" borderId="75" xfId="0" applyNumberFormat="1" applyFont="1" applyFill="1" applyBorder="1" applyAlignment="1">
      <alignment horizontal="center" vertical="center"/>
    </xf>
    <xf numFmtId="3" fontId="7" fillId="11" borderId="18" xfId="0" applyNumberFormat="1" applyFont="1" applyFill="1" applyBorder="1" applyAlignment="1">
      <alignment horizontal="center" vertical="center"/>
    </xf>
    <xf numFmtId="3" fontId="7" fillId="11" borderId="64" xfId="0" applyNumberFormat="1" applyFont="1" applyFill="1" applyBorder="1" applyAlignment="1">
      <alignment horizontal="center" vertical="center"/>
    </xf>
    <xf numFmtId="3" fontId="7" fillId="11" borderId="62" xfId="0" applyNumberFormat="1" applyFont="1" applyFill="1" applyBorder="1" applyAlignment="1">
      <alignment horizontal="center" vertical="center"/>
    </xf>
    <xf numFmtId="3" fontId="7" fillId="11" borderId="27" xfId="0" applyNumberFormat="1" applyFont="1" applyFill="1" applyBorder="1" applyAlignment="1">
      <alignment horizontal="center" vertical="center"/>
    </xf>
    <xf numFmtId="3" fontId="7" fillId="11" borderId="32" xfId="0" applyNumberFormat="1" applyFont="1" applyFill="1" applyBorder="1" applyAlignment="1">
      <alignment horizontal="center" vertical="center"/>
    </xf>
    <xf numFmtId="0" fontId="7" fillId="11" borderId="75" xfId="0" applyFont="1" applyFill="1" applyBorder="1" applyAlignment="1">
      <alignment horizontal="center" vertical="center"/>
    </xf>
    <xf numFmtId="0" fontId="7" fillId="11" borderId="18" xfId="0" applyFont="1" applyFill="1" applyBorder="1" applyAlignment="1">
      <alignment horizontal="center" vertical="center"/>
    </xf>
    <xf numFmtId="3" fontId="7" fillId="11" borderId="76" xfId="0" applyNumberFormat="1" applyFont="1" applyFill="1" applyBorder="1" applyAlignment="1">
      <alignment horizontal="center" vertical="center"/>
    </xf>
    <xf numFmtId="0" fontId="7" fillId="2" borderId="40" xfId="0" applyFont="1" applyFill="1" applyBorder="1" applyAlignment="1" applyProtection="1">
      <alignment horizontal="left" vertical="top" wrapText="1"/>
      <protection locked="0"/>
    </xf>
    <xf numFmtId="0" fontId="7" fillId="2" borderId="29" xfId="0" applyFont="1" applyFill="1" applyBorder="1" applyAlignment="1" applyProtection="1">
      <alignment horizontal="left" vertical="top" wrapText="1"/>
      <protection locked="0"/>
    </xf>
    <xf numFmtId="0" fontId="7" fillId="2" borderId="35" xfId="0" applyFont="1" applyFill="1" applyBorder="1" applyAlignment="1" applyProtection="1">
      <alignment horizontal="left" vertical="top" wrapText="1"/>
      <protection locked="0"/>
    </xf>
    <xf numFmtId="0" fontId="7" fillId="2" borderId="19" xfId="0" applyFont="1" applyFill="1" applyBorder="1" applyAlignment="1" applyProtection="1">
      <alignment horizontal="left" vertical="top" wrapText="1"/>
      <protection locked="0"/>
    </xf>
    <xf numFmtId="0" fontId="7" fillId="2" borderId="0" xfId="0" applyFont="1" applyFill="1" applyAlignment="1" applyProtection="1">
      <alignment horizontal="left" vertical="top" wrapText="1"/>
      <protection locked="0"/>
    </xf>
    <xf numFmtId="0" fontId="7" fillId="2" borderId="20" xfId="0" applyFont="1" applyFill="1" applyBorder="1" applyAlignment="1" applyProtection="1">
      <alignment horizontal="left" vertical="top" wrapText="1"/>
      <protection locked="0"/>
    </xf>
    <xf numFmtId="0" fontId="7" fillId="2" borderId="62" xfId="0" applyFont="1" applyFill="1" applyBorder="1" applyAlignment="1" applyProtection="1">
      <alignment horizontal="left" vertical="top" wrapText="1"/>
      <protection locked="0"/>
    </xf>
    <xf numFmtId="0" fontId="7" fillId="2" borderId="27" xfId="0" applyFont="1" applyFill="1" applyBorder="1" applyAlignment="1" applyProtection="1">
      <alignment horizontal="left" vertical="top" wrapText="1"/>
      <protection locked="0"/>
    </xf>
    <xf numFmtId="0" fontId="7" fillId="2" borderId="32" xfId="0" applyFont="1" applyFill="1" applyBorder="1" applyAlignment="1" applyProtection="1">
      <alignment horizontal="left" vertical="top" wrapText="1"/>
      <protection locked="0"/>
    </xf>
    <xf numFmtId="188" fontId="7" fillId="2" borderId="6" xfId="3" applyNumberFormat="1" applyFont="1" applyFill="1" applyBorder="1" applyAlignment="1">
      <alignment horizontal="center" vertical="center"/>
    </xf>
    <xf numFmtId="188" fontId="7" fillId="2" borderId="7" xfId="3" applyNumberFormat="1" applyFont="1" applyFill="1" applyBorder="1" applyAlignment="1">
      <alignment horizontal="center" vertical="center"/>
    </xf>
    <xf numFmtId="188" fontId="7" fillId="2" borderId="5" xfId="3" applyNumberFormat="1" applyFont="1" applyFill="1" applyBorder="1" applyAlignment="1">
      <alignment horizontal="center" vertical="center"/>
    </xf>
    <xf numFmtId="188" fontId="7" fillId="2" borderId="0" xfId="3" applyNumberFormat="1" applyFont="1" applyFill="1" applyAlignment="1">
      <alignment horizontal="center" vertical="center"/>
    </xf>
    <xf numFmtId="188" fontId="7" fillId="2" borderId="26" xfId="3" applyNumberFormat="1" applyFont="1" applyFill="1" applyBorder="1" applyAlignment="1">
      <alignment horizontal="center" vertical="center"/>
    </xf>
    <xf numFmtId="188" fontId="7" fillId="2" borderId="27" xfId="3" applyNumberFormat="1" applyFont="1" applyFill="1" applyBorder="1" applyAlignment="1">
      <alignment horizontal="center" vertical="center"/>
    </xf>
    <xf numFmtId="188" fontId="7" fillId="2" borderId="48" xfId="3" applyNumberFormat="1" applyFont="1" applyFill="1" applyBorder="1" applyAlignment="1">
      <alignment horizontal="center" vertical="center"/>
    </xf>
    <xf numFmtId="188" fontId="7" fillId="2" borderId="20" xfId="3" applyNumberFormat="1" applyFont="1" applyFill="1" applyBorder="1" applyAlignment="1">
      <alignment horizontal="center" vertical="center"/>
    </xf>
    <xf numFmtId="188" fontId="7" fillId="2" borderId="32" xfId="3" applyNumberFormat="1" applyFont="1" applyFill="1" applyBorder="1" applyAlignment="1">
      <alignment horizontal="center" vertical="center"/>
    </xf>
    <xf numFmtId="189" fontId="7" fillId="2" borderId="2" xfId="0" applyNumberFormat="1" applyFont="1" applyFill="1" applyBorder="1" applyAlignment="1" applyProtection="1">
      <alignment horizontal="center" vertical="center"/>
      <protection locked="0"/>
    </xf>
    <xf numFmtId="189" fontId="7" fillId="2" borderId="3" xfId="0" applyNumberFormat="1" applyFont="1" applyFill="1" applyBorder="1" applyAlignment="1" applyProtection="1">
      <alignment horizontal="center" vertical="center"/>
      <protection locked="0"/>
    </xf>
    <xf numFmtId="189" fontId="7" fillId="2" borderId="4" xfId="0" applyNumberFormat="1" applyFont="1" applyFill="1" applyBorder="1" applyAlignment="1" applyProtection="1">
      <alignment horizontal="center" vertical="center"/>
      <protection locked="0"/>
    </xf>
    <xf numFmtId="180" fontId="7" fillId="10" borderId="0" xfId="3" applyNumberFormat="1" applyFont="1" applyFill="1" applyAlignment="1">
      <alignment horizontal="left" vertical="center"/>
    </xf>
    <xf numFmtId="0" fontId="7" fillId="10" borderId="174" xfId="3" applyFont="1" applyFill="1" applyBorder="1" applyAlignment="1">
      <alignment horizontal="center" vertical="center"/>
    </xf>
    <xf numFmtId="0" fontId="7" fillId="10" borderId="29" xfId="3" applyFont="1" applyFill="1" applyBorder="1" applyAlignment="1">
      <alignment horizontal="center" vertical="center"/>
    </xf>
    <xf numFmtId="0" fontId="7" fillId="10" borderId="35" xfId="3" applyFont="1" applyFill="1" applyBorder="1" applyAlignment="1">
      <alignment horizontal="center" vertical="center"/>
    </xf>
    <xf numFmtId="0" fontId="7" fillId="10" borderId="5" xfId="3" applyFont="1" applyFill="1" applyBorder="1" applyAlignment="1">
      <alignment horizontal="center" vertical="center"/>
    </xf>
    <xf numFmtId="0" fontId="7" fillId="10" borderId="0" xfId="3" applyFont="1" applyFill="1" applyAlignment="1">
      <alignment horizontal="center" vertical="center"/>
    </xf>
    <xf numFmtId="0" fontId="7" fillId="10" borderId="20" xfId="3" applyFont="1" applyFill="1" applyBorder="1" applyAlignment="1">
      <alignment horizontal="center" vertical="center"/>
    </xf>
    <xf numFmtId="0" fontId="7" fillId="10" borderId="10" xfId="3" applyFont="1" applyFill="1" applyBorder="1" applyAlignment="1">
      <alignment horizontal="center" vertical="center"/>
    </xf>
    <xf numFmtId="0" fontId="7" fillId="10" borderId="11" xfId="3" applyFont="1" applyFill="1" applyBorder="1" applyAlignment="1">
      <alignment horizontal="center" vertical="center"/>
    </xf>
    <xf numFmtId="0" fontId="7" fillId="10" borderId="30" xfId="3" applyFont="1" applyFill="1" applyBorder="1" applyAlignment="1">
      <alignment horizontal="center" vertical="center"/>
    </xf>
    <xf numFmtId="0" fontId="7" fillId="2" borderId="40" xfId="3" applyFont="1" applyFill="1" applyBorder="1" applyAlignment="1">
      <alignment horizontal="distributed" vertical="center"/>
    </xf>
    <xf numFmtId="0" fontId="7" fillId="2" borderId="29" xfId="3" applyFont="1" applyFill="1" applyBorder="1" applyAlignment="1">
      <alignment horizontal="distributed" vertical="center"/>
    </xf>
    <xf numFmtId="0" fontId="7" fillId="2" borderId="175" xfId="3" applyFont="1" applyFill="1" applyBorder="1" applyAlignment="1">
      <alignment horizontal="distributed" vertical="center"/>
    </xf>
    <xf numFmtId="0" fontId="7" fillId="2" borderId="19" xfId="3" applyFont="1" applyFill="1" applyBorder="1" applyAlignment="1">
      <alignment horizontal="distributed" vertical="center"/>
    </xf>
    <xf numFmtId="0" fontId="7" fillId="2" borderId="0" xfId="3" applyFont="1" applyFill="1" applyAlignment="1">
      <alignment horizontal="distributed" vertical="center"/>
    </xf>
    <xf numFmtId="0" fontId="7" fillId="2" borderId="9" xfId="3" applyFont="1" applyFill="1" applyBorder="1" applyAlignment="1">
      <alignment horizontal="distributed" vertical="center"/>
    </xf>
    <xf numFmtId="0" fontId="7" fillId="2" borderId="65" xfId="3" applyFont="1" applyFill="1" applyBorder="1" applyAlignment="1">
      <alignment horizontal="distributed" vertical="center"/>
    </xf>
    <xf numFmtId="0" fontId="7" fillId="2" borderId="11" xfId="3" applyFont="1" applyFill="1" applyBorder="1" applyAlignment="1">
      <alignment horizontal="distributed" vertical="center"/>
    </xf>
    <xf numFmtId="0" fontId="7" fillId="2" borderId="12" xfId="3" applyFont="1" applyFill="1" applyBorder="1" applyAlignment="1">
      <alignment horizontal="distributed" vertical="center"/>
    </xf>
    <xf numFmtId="0" fontId="7" fillId="2" borderId="41" xfId="3" applyFont="1" applyFill="1" applyBorder="1" applyAlignment="1">
      <alignment horizontal="distributed" vertical="center"/>
    </xf>
    <xf numFmtId="0" fontId="7" fillId="2" borderId="7" xfId="3" applyFont="1" applyFill="1" applyBorder="1" applyAlignment="1">
      <alignment horizontal="distributed" vertical="center"/>
    </xf>
    <xf numFmtId="0" fontId="7" fillId="2" borderId="8" xfId="3" applyFont="1" applyFill="1" applyBorder="1" applyAlignment="1">
      <alignment horizontal="distributed" vertical="center"/>
    </xf>
    <xf numFmtId="0" fontId="7" fillId="2" borderId="62" xfId="3" applyFont="1" applyFill="1" applyBorder="1" applyAlignment="1">
      <alignment horizontal="distributed" vertical="center"/>
    </xf>
    <xf numFmtId="0" fontId="7" fillId="2" borderId="27" xfId="3" applyFont="1" applyFill="1" applyBorder="1" applyAlignment="1">
      <alignment horizontal="distributed" vertical="center"/>
    </xf>
    <xf numFmtId="0" fontId="7" fillId="2" borderId="33" xfId="3" applyFont="1" applyFill="1" applyBorder="1" applyAlignment="1">
      <alignment horizontal="distributed" vertical="center"/>
    </xf>
    <xf numFmtId="0" fontId="15" fillId="10" borderId="7" xfId="3" applyFont="1" applyFill="1" applyBorder="1" applyAlignment="1">
      <alignment horizontal="center" vertical="center"/>
    </xf>
    <xf numFmtId="0" fontId="15" fillId="10" borderId="0" xfId="3" applyFont="1" applyFill="1" applyAlignment="1">
      <alignment horizontal="center" vertical="center"/>
    </xf>
    <xf numFmtId="0" fontId="15" fillId="10" borderId="11" xfId="3" applyFont="1" applyFill="1" applyBorder="1" applyAlignment="1">
      <alignment horizontal="center" vertical="center"/>
    </xf>
    <xf numFmtId="187" fontId="15" fillId="10" borderId="6" xfId="3" applyNumberFormat="1" applyFont="1" applyFill="1" applyBorder="1" applyAlignment="1">
      <alignment horizontal="center" vertical="center"/>
    </xf>
    <xf numFmtId="187" fontId="15" fillId="10" borderId="7" xfId="3" applyNumberFormat="1" applyFont="1" applyFill="1" applyBorder="1" applyAlignment="1">
      <alignment horizontal="center" vertical="center"/>
    </xf>
    <xf numFmtId="187" fontId="15" fillId="10" borderId="5" xfId="3" applyNumberFormat="1" applyFont="1" applyFill="1" applyBorder="1" applyAlignment="1">
      <alignment horizontal="center" vertical="center"/>
    </xf>
    <xf numFmtId="187" fontId="15" fillId="10" borderId="0" xfId="3" applyNumberFormat="1" applyFont="1" applyFill="1" applyAlignment="1">
      <alignment horizontal="center" vertical="center"/>
    </xf>
    <xf numFmtId="187" fontId="15" fillId="10" borderId="10" xfId="3" applyNumberFormat="1" applyFont="1" applyFill="1" applyBorder="1" applyAlignment="1">
      <alignment horizontal="center" vertical="center"/>
    </xf>
    <xf numFmtId="187" fontId="15" fillId="10" borderId="11" xfId="3" applyNumberFormat="1" applyFont="1" applyFill="1" applyBorder="1" applyAlignment="1">
      <alignment horizontal="center" vertical="center"/>
    </xf>
    <xf numFmtId="187" fontId="15" fillId="10" borderId="48" xfId="3" applyNumberFormat="1" applyFont="1" applyFill="1" applyBorder="1" applyAlignment="1">
      <alignment horizontal="center" vertical="center"/>
    </xf>
    <xf numFmtId="187" fontId="15" fillId="10" borderId="20" xfId="3" applyNumberFormat="1" applyFont="1" applyFill="1" applyBorder="1" applyAlignment="1">
      <alignment horizontal="center" vertical="center"/>
    </xf>
    <xf numFmtId="187" fontId="15" fillId="10" borderId="30" xfId="3" applyNumberFormat="1" applyFont="1" applyFill="1" applyBorder="1" applyAlignment="1">
      <alignment horizontal="center" vertical="center"/>
    </xf>
    <xf numFmtId="179" fontId="7" fillId="10" borderId="0" xfId="3" applyNumberFormat="1" applyFont="1" applyFill="1" applyAlignment="1">
      <alignment horizontal="left" vertical="center"/>
    </xf>
    <xf numFmtId="180" fontId="7" fillId="2" borderId="0" xfId="3" applyNumberFormat="1" applyFont="1" applyFill="1" applyAlignment="1">
      <alignment horizontal="center" vertical="center"/>
    </xf>
    <xf numFmtId="0" fontId="7" fillId="11" borderId="86" xfId="0" applyFont="1" applyFill="1" applyBorder="1" applyAlignment="1" applyProtection="1">
      <alignment horizontal="center" vertical="center"/>
      <protection locked="0"/>
    </xf>
    <xf numFmtId="0" fontId="7" fillId="11" borderId="89" xfId="0" applyFont="1" applyFill="1" applyBorder="1" applyAlignment="1" applyProtection="1">
      <alignment horizontal="center" vertical="center"/>
      <protection locked="0"/>
    </xf>
    <xf numFmtId="0" fontId="7" fillId="11" borderId="92" xfId="0" applyFont="1" applyFill="1" applyBorder="1" applyAlignment="1" applyProtection="1">
      <alignment horizontal="center" vertical="center"/>
      <protection locked="0"/>
    </xf>
    <xf numFmtId="0" fontId="7" fillId="10" borderId="0" xfId="0" applyFont="1" applyFill="1" applyAlignment="1">
      <alignment horizontal="left" vertical="center"/>
    </xf>
    <xf numFmtId="184" fontId="7" fillId="10" borderId="0" xfId="0" applyNumberFormat="1" applyFont="1" applyFill="1" applyAlignment="1">
      <alignment horizontal="left" vertical="center"/>
    </xf>
    <xf numFmtId="189" fontId="7" fillId="10" borderId="0" xfId="0" applyNumberFormat="1" applyFont="1" applyFill="1" applyAlignment="1">
      <alignment horizontal="distributed" vertical="center"/>
    </xf>
    <xf numFmtId="189" fontId="7" fillId="10" borderId="0" xfId="0" applyNumberFormat="1" applyFont="1" applyFill="1" applyAlignment="1">
      <alignment horizontal="center" vertical="center"/>
    </xf>
    <xf numFmtId="0" fontId="7" fillId="2" borderId="0" xfId="0" applyFont="1" applyFill="1" applyAlignment="1">
      <alignment horizontal="distributed" vertical="center"/>
    </xf>
    <xf numFmtId="0" fontId="7" fillId="10" borderId="11" xfId="0" applyFont="1" applyFill="1" applyBorder="1" applyAlignment="1">
      <alignment horizontal="center" vertical="top" wrapText="1"/>
    </xf>
    <xf numFmtId="0" fontId="7" fillId="2" borderId="0" xfId="0" applyFont="1" applyFill="1" applyAlignment="1">
      <alignment horizontal="distributed" vertical="top" wrapText="1"/>
    </xf>
    <xf numFmtId="0" fontId="8" fillId="2" borderId="312" xfId="1" applyFont="1" applyFill="1" applyBorder="1" applyAlignment="1">
      <alignment horizontal="center" vertical="center" wrapText="1"/>
    </xf>
    <xf numFmtId="0" fontId="8" fillId="2" borderId="161" xfId="1" applyFont="1" applyFill="1" applyBorder="1" applyAlignment="1">
      <alignment horizontal="center" vertical="center" wrapText="1"/>
    </xf>
    <xf numFmtId="0" fontId="8" fillId="2" borderId="181" xfId="1" applyFont="1" applyFill="1" applyBorder="1" applyAlignment="1">
      <alignment horizontal="center" vertical="center" wrapText="1"/>
    </xf>
    <xf numFmtId="0" fontId="8" fillId="2" borderId="160" xfId="1" applyFont="1" applyFill="1" applyBorder="1" applyAlignment="1">
      <alignment horizontal="center" vertical="center" wrapText="1"/>
    </xf>
    <xf numFmtId="0" fontId="8" fillId="2" borderId="159" xfId="1" applyFont="1" applyFill="1" applyBorder="1" applyAlignment="1">
      <alignment horizontal="center" vertical="center" wrapText="1"/>
    </xf>
    <xf numFmtId="0" fontId="8" fillId="2" borderId="158" xfId="1" applyFont="1" applyFill="1" applyBorder="1" applyAlignment="1">
      <alignment horizontal="center" vertical="center"/>
    </xf>
    <xf numFmtId="0" fontId="8" fillId="2" borderId="159" xfId="1" applyFont="1" applyFill="1" applyBorder="1" applyAlignment="1">
      <alignment horizontal="center" vertical="center"/>
    </xf>
    <xf numFmtId="0" fontId="8" fillId="2" borderId="108" xfId="1" applyFont="1" applyFill="1" applyBorder="1" applyAlignment="1">
      <alignment horizontal="center" vertical="center"/>
    </xf>
    <xf numFmtId="0" fontId="8" fillId="2" borderId="123" xfId="1" applyFont="1" applyFill="1" applyBorder="1" applyAlignment="1">
      <alignment horizontal="center" vertical="center" textRotation="255"/>
    </xf>
    <xf numFmtId="0" fontId="8" fillId="2" borderId="129" xfId="1" applyFont="1" applyFill="1" applyBorder="1" applyAlignment="1">
      <alignment horizontal="center" vertical="center" textRotation="255"/>
    </xf>
    <xf numFmtId="0" fontId="8" fillId="2" borderId="130" xfId="1" applyFont="1" applyFill="1" applyBorder="1" applyAlignment="1">
      <alignment horizontal="center" vertical="center" textRotation="255"/>
    </xf>
    <xf numFmtId="0" fontId="8" fillId="2" borderId="126" xfId="1" applyFont="1" applyFill="1" applyBorder="1" applyAlignment="1">
      <alignment horizontal="left" vertical="center"/>
    </xf>
    <xf numFmtId="0" fontId="8" fillId="2" borderId="142" xfId="1" applyFont="1" applyFill="1" applyBorder="1" applyAlignment="1">
      <alignment horizontal="left" vertical="center"/>
    </xf>
    <xf numFmtId="0" fontId="8" fillId="2" borderId="95" xfId="1" applyFont="1" applyFill="1" applyBorder="1" applyAlignment="1">
      <alignment horizontal="left" vertical="center" wrapText="1"/>
    </xf>
    <xf numFmtId="0" fontId="8" fillId="2" borderId="139" xfId="1" applyFont="1" applyFill="1" applyBorder="1" applyAlignment="1">
      <alignment horizontal="left" vertical="center" wrapText="1"/>
    </xf>
    <xf numFmtId="0" fontId="8" fillId="2" borderId="94" xfId="1" applyFont="1" applyFill="1" applyBorder="1" applyAlignment="1">
      <alignment horizontal="left" vertical="center" wrapText="1"/>
    </xf>
    <xf numFmtId="0" fontId="8" fillId="2" borderId="140" xfId="1" applyFont="1" applyFill="1" applyBorder="1" applyAlignment="1">
      <alignment horizontal="left" vertical="center" wrapText="1"/>
    </xf>
    <xf numFmtId="0" fontId="8" fillId="2" borderId="94" xfId="1" applyFont="1" applyFill="1" applyBorder="1" applyAlignment="1">
      <alignment horizontal="center" vertical="center"/>
    </xf>
    <xf numFmtId="0" fontId="8" fillId="2" borderId="96" xfId="1" applyFont="1" applyFill="1" applyBorder="1" applyAlignment="1">
      <alignment horizontal="center" vertical="center"/>
    </xf>
    <xf numFmtId="0" fontId="8" fillId="2" borderId="97" xfId="1" applyFont="1" applyFill="1" applyBorder="1" applyAlignment="1">
      <alignment horizontal="center" vertical="center"/>
    </xf>
    <xf numFmtId="0" fontId="8" fillId="2" borderId="7" xfId="1" applyFont="1" applyFill="1" applyBorder="1" applyAlignment="1">
      <alignment horizontal="left" vertical="center"/>
    </xf>
    <xf numFmtId="0" fontId="8" fillId="2" borderId="143" xfId="1" applyFont="1" applyFill="1" applyBorder="1" applyAlignment="1">
      <alignment horizontal="left" vertical="center"/>
    </xf>
    <xf numFmtId="0" fontId="8" fillId="2" borderId="0" xfId="1" applyFont="1" applyFill="1" applyAlignment="1">
      <alignment horizontal="left" vertical="center"/>
    </xf>
    <xf numFmtId="0" fontId="8" fillId="2" borderId="95" xfId="1" applyFont="1" applyFill="1" applyBorder="1" applyAlignment="1">
      <alignment horizontal="left" vertical="center"/>
    </xf>
    <xf numFmtId="0" fontId="8" fillId="2" borderId="94" xfId="1" applyFont="1" applyFill="1" applyBorder="1" applyAlignment="1">
      <alignment horizontal="left" vertical="center"/>
    </xf>
    <xf numFmtId="0" fontId="8" fillId="2" borderId="185" xfId="1" applyFont="1" applyFill="1" applyBorder="1" applyAlignment="1">
      <alignment horizontal="left" vertical="center"/>
    </xf>
    <xf numFmtId="0" fontId="8" fillId="2" borderId="186" xfId="1" applyFont="1" applyFill="1" applyBorder="1" applyAlignment="1">
      <alignment horizontal="left" vertical="center"/>
    </xf>
    <xf numFmtId="0" fontId="8" fillId="2" borderId="122" xfId="1" applyFont="1" applyFill="1" applyBorder="1" applyAlignment="1">
      <alignment horizontal="left" vertical="center"/>
    </xf>
    <xf numFmtId="0" fontId="8" fillId="2" borderId="97" xfId="1" applyFont="1" applyFill="1" applyBorder="1" applyAlignment="1">
      <alignment horizontal="left" vertical="center"/>
    </xf>
    <xf numFmtId="0" fontId="8" fillId="2" borderId="125" xfId="1" applyFont="1" applyFill="1" applyBorder="1" applyAlignment="1">
      <alignment horizontal="center" vertical="center" textRotation="255"/>
    </xf>
    <xf numFmtId="0" fontId="8" fillId="2" borderId="97" xfId="1" applyFont="1" applyFill="1" applyBorder="1" applyAlignment="1">
      <alignment horizontal="center" vertical="center" wrapText="1" shrinkToFit="1"/>
    </xf>
    <xf numFmtId="0" fontId="8" fillId="2" borderId="95" xfId="1" applyFont="1" applyFill="1" applyBorder="1" applyAlignment="1">
      <alignment horizontal="center" vertical="center" wrapText="1" shrinkToFit="1"/>
    </xf>
    <xf numFmtId="0" fontId="8" fillId="2" borderId="94" xfId="1" applyFont="1" applyFill="1" applyBorder="1" applyAlignment="1">
      <alignment horizontal="center" vertical="center" wrapText="1" shrinkToFit="1"/>
    </xf>
    <xf numFmtId="0" fontId="8" fillId="2" borderId="116" xfId="1" applyFont="1" applyFill="1" applyBorder="1" applyAlignment="1">
      <alignment horizontal="left" vertical="center"/>
    </xf>
    <xf numFmtId="0" fontId="8" fillId="2" borderId="111" xfId="1" applyFont="1" applyFill="1" applyBorder="1" applyAlignment="1">
      <alignment horizontal="left" vertical="center"/>
    </xf>
    <xf numFmtId="0" fontId="8" fillId="2" borderId="116" xfId="1" applyFont="1" applyFill="1" applyBorder="1" applyAlignment="1">
      <alignment horizontal="center" vertical="center" wrapText="1"/>
    </xf>
    <xf numFmtId="0" fontId="8" fillId="2" borderId="95" xfId="1" applyFont="1" applyFill="1" applyBorder="1" applyAlignment="1">
      <alignment horizontal="center" vertical="center"/>
    </xf>
    <xf numFmtId="0" fontId="8" fillId="2" borderId="111" xfId="1" applyFont="1" applyFill="1" applyBorder="1" applyAlignment="1">
      <alignment horizontal="center" vertical="center"/>
    </xf>
    <xf numFmtId="0" fontId="8" fillId="2" borderId="164" xfId="1" applyFont="1" applyFill="1" applyBorder="1" applyAlignment="1">
      <alignment horizontal="left" vertical="center"/>
    </xf>
    <xf numFmtId="0" fontId="8" fillId="2" borderId="121" xfId="1" applyFont="1" applyFill="1" applyBorder="1" applyAlignment="1">
      <alignment horizontal="center" vertical="center" wrapText="1"/>
    </xf>
    <xf numFmtId="0" fontId="8" fillId="2" borderId="198" xfId="1" applyFont="1" applyFill="1" applyBorder="1" applyAlignment="1">
      <alignment horizontal="center" vertical="center"/>
    </xf>
    <xf numFmtId="0" fontId="8" fillId="2" borderId="122" xfId="1" applyFont="1" applyFill="1" applyBorder="1" applyAlignment="1">
      <alignment horizontal="center" vertical="center" wrapText="1"/>
    </xf>
    <xf numFmtId="0" fontId="8" fillId="2" borderId="96" xfId="1" applyFont="1" applyFill="1" applyBorder="1" applyAlignment="1">
      <alignment horizontal="center" vertical="center" wrapText="1"/>
    </xf>
    <xf numFmtId="0" fontId="8" fillId="2" borderId="206" xfId="1" applyFont="1" applyFill="1" applyBorder="1" applyAlignment="1">
      <alignment horizontal="left" vertical="center"/>
    </xf>
    <xf numFmtId="0" fontId="8" fillId="2" borderId="207" xfId="1" applyFont="1" applyFill="1" applyBorder="1" applyAlignment="1">
      <alignment horizontal="left" vertical="center"/>
    </xf>
    <xf numFmtId="0" fontId="8" fillId="2" borderId="210" xfId="1" applyFont="1" applyFill="1" applyBorder="1" applyAlignment="1">
      <alignment horizontal="left" vertical="center"/>
    </xf>
    <xf numFmtId="0" fontId="8" fillId="2" borderId="211" xfId="1" applyFont="1" applyFill="1" applyBorder="1" applyAlignment="1">
      <alignment horizontal="left" vertical="center"/>
    </xf>
    <xf numFmtId="0" fontId="8" fillId="2" borderId="147" xfId="1" applyFont="1" applyFill="1" applyBorder="1" applyAlignment="1">
      <alignment horizontal="left" vertical="center" wrapText="1"/>
    </xf>
    <xf numFmtId="0" fontId="8" fillId="2" borderId="199" xfId="1" applyFont="1" applyFill="1" applyBorder="1" applyAlignment="1">
      <alignment horizontal="left" vertical="center" wrapText="1"/>
    </xf>
    <xf numFmtId="0" fontId="8" fillId="2" borderId="200" xfId="1" applyFont="1" applyFill="1" applyBorder="1" applyAlignment="1">
      <alignment horizontal="left" vertical="center" wrapText="1"/>
    </xf>
    <xf numFmtId="0" fontId="8" fillId="2" borderId="188" xfId="1" applyFont="1" applyFill="1" applyBorder="1" applyAlignment="1">
      <alignment horizontal="center" vertical="center" wrapText="1"/>
    </xf>
    <xf numFmtId="0" fontId="8" fillId="2" borderId="170" xfId="1" applyFont="1" applyFill="1" applyBorder="1" applyAlignment="1">
      <alignment horizontal="center" vertical="center"/>
    </xf>
    <xf numFmtId="0" fontId="8" fillId="2" borderId="136" xfId="1" applyFont="1" applyFill="1" applyBorder="1" applyAlignment="1">
      <alignment horizontal="left" vertical="center"/>
    </xf>
    <xf numFmtId="0" fontId="8" fillId="2" borderId="11" xfId="1" applyFont="1" applyFill="1" applyBorder="1" applyAlignment="1">
      <alignment horizontal="left" vertical="center"/>
    </xf>
    <xf numFmtId="0" fontId="8" fillId="2" borderId="12" xfId="1" applyFont="1" applyFill="1" applyBorder="1" applyAlignment="1">
      <alignment horizontal="left" vertical="center"/>
    </xf>
    <xf numFmtId="0" fontId="8" fillId="2" borderId="191" xfId="1" applyFont="1" applyFill="1" applyBorder="1" applyAlignment="1">
      <alignment horizontal="left" vertical="center"/>
    </xf>
    <xf numFmtId="0" fontId="8" fillId="2" borderId="192" xfId="1" applyFont="1" applyFill="1" applyBorder="1" applyAlignment="1">
      <alignment horizontal="left" vertical="center"/>
    </xf>
    <xf numFmtId="0" fontId="8" fillId="2" borderId="152" xfId="1" applyFont="1" applyFill="1" applyBorder="1" applyAlignment="1">
      <alignment horizontal="left" vertical="center"/>
    </xf>
    <xf numFmtId="0" fontId="8" fillId="2" borderId="105" xfId="1" applyFont="1" applyFill="1" applyBorder="1" applyAlignment="1">
      <alignment horizontal="left" vertical="center"/>
    </xf>
    <xf numFmtId="0" fontId="8" fillId="2" borderId="188" xfId="1" applyFont="1" applyFill="1" applyBorder="1" applyAlignment="1">
      <alignment horizontal="left" vertical="center" wrapText="1"/>
    </xf>
    <xf numFmtId="0" fontId="8" fillId="2" borderId="189" xfId="1" applyFont="1" applyFill="1" applyBorder="1" applyAlignment="1">
      <alignment horizontal="left" vertical="center" wrapText="1"/>
    </xf>
    <xf numFmtId="0" fontId="8" fillId="2" borderId="170" xfId="1" applyFont="1" applyFill="1" applyBorder="1" applyAlignment="1">
      <alignment horizontal="left" vertical="center" wrapText="1"/>
    </xf>
    <xf numFmtId="0" fontId="8" fillId="2" borderId="171" xfId="1" applyFont="1" applyFill="1" applyBorder="1" applyAlignment="1">
      <alignment horizontal="left" vertical="center" wrapText="1"/>
    </xf>
    <xf numFmtId="0" fontId="8" fillId="2" borderId="151" xfId="1" applyFont="1" applyFill="1" applyBorder="1" applyAlignment="1">
      <alignment horizontal="left" vertical="center" wrapText="1"/>
    </xf>
    <xf numFmtId="0" fontId="8" fillId="2" borderId="153" xfId="1" applyFont="1" applyFill="1" applyBorder="1" applyAlignment="1">
      <alignment horizontal="left" vertical="center" wrapText="1"/>
    </xf>
    <xf numFmtId="0" fontId="8" fillId="2" borderId="154" xfId="1" applyFont="1" applyFill="1" applyBorder="1" applyAlignment="1">
      <alignment horizontal="left" vertical="center" wrapText="1"/>
    </xf>
    <xf numFmtId="0" fontId="8" fillId="0" borderId="132" xfId="1" applyFont="1" applyBorder="1" applyAlignment="1">
      <alignment horizontal="center" vertical="center"/>
    </xf>
    <xf numFmtId="0" fontId="8" fillId="0" borderId="133" xfId="1" applyFont="1" applyBorder="1" applyAlignment="1">
      <alignment horizontal="center" vertical="center"/>
    </xf>
    <xf numFmtId="0" fontId="8" fillId="0" borderId="127" xfId="1" applyFont="1" applyBorder="1" applyAlignment="1">
      <alignment horizontal="center" vertical="center"/>
    </xf>
    <xf numFmtId="0" fontId="8" fillId="0" borderId="156" xfId="1" applyFont="1" applyBorder="1" applyAlignment="1">
      <alignment horizontal="center" vertical="center"/>
    </xf>
    <xf numFmtId="20" fontId="8" fillId="0" borderId="127" xfId="1" applyNumberFormat="1" applyFont="1" applyBorder="1" applyAlignment="1">
      <alignment horizontal="center" vertical="center"/>
    </xf>
    <xf numFmtId="20" fontId="8" fillId="0" borderId="156" xfId="1" applyNumberFormat="1" applyFont="1" applyBorder="1" applyAlignment="1">
      <alignment horizontal="center" vertical="center"/>
    </xf>
    <xf numFmtId="0" fontId="8" fillId="2" borderId="121" xfId="1" applyFont="1" applyFill="1" applyBorder="1" applyAlignment="1">
      <alignment horizontal="left" vertical="center"/>
    </xf>
    <xf numFmtId="0" fontId="8" fillId="2" borderId="97" xfId="1" applyFont="1" applyFill="1" applyBorder="1" applyAlignment="1">
      <alignment horizontal="left" vertical="center" wrapText="1"/>
    </xf>
    <xf numFmtId="0" fontId="8" fillId="2" borderId="94" xfId="1" applyFont="1" applyFill="1" applyBorder="1" applyAlignment="1">
      <alignment horizontal="center" vertical="center" wrapText="1"/>
    </xf>
    <xf numFmtId="0" fontId="8" fillId="2" borderId="135" xfId="1" applyFont="1" applyFill="1" applyBorder="1" applyAlignment="1">
      <alignment horizontal="center" vertical="center"/>
    </xf>
  </cellXfs>
  <cellStyles count="6">
    <cellStyle name="桁区切り" xfId="5" builtinId="6"/>
    <cellStyle name="桁区切り 2" xfId="2" xr:uid="{00000000-0005-0000-0000-000000000000}"/>
    <cellStyle name="通貨" xfId="4" builtinId="7"/>
    <cellStyle name="標準" xfId="0" builtinId="0"/>
    <cellStyle name="標準 2" xfId="1" xr:uid="{00000000-0005-0000-0000-000003000000}"/>
    <cellStyle name="標準 3" xfId="3" xr:uid="{00000000-0005-0000-0000-000004000000}"/>
  </cellStyles>
  <dxfs count="3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fgColor auto="1"/>
          <bgColor theme="1" tint="0.499984740745262"/>
        </patternFill>
      </fill>
    </dxf>
    <dxf>
      <fill>
        <patternFill patternType="none">
          <fgColor auto="1"/>
          <bgColor auto="1"/>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Radio" firstButton="1" fmlaLink="$AM$17"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L$78" lockText="1" noThreeD="1"/>
</file>

<file path=xl/ctrlProps/ctrlProp19.xml><?xml version="1.0" encoding="utf-8"?>
<formControlPr xmlns="http://schemas.microsoft.com/office/spreadsheetml/2009/9/main" objectType="CheckBox" fmlaLink="$AM$78"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fmlaLink="$AN$78" lockText="1" noThreeD="1"/>
</file>

<file path=xl/ctrlProps/ctrlProp21.xml><?xml version="1.0" encoding="utf-8"?>
<formControlPr xmlns="http://schemas.microsoft.com/office/spreadsheetml/2009/9/main" objectType="CheckBox" fmlaLink="$AL$80" lockText="1" noThreeD="1"/>
</file>

<file path=xl/ctrlProps/ctrlProp22.xml><?xml version="1.0" encoding="utf-8"?>
<formControlPr xmlns="http://schemas.microsoft.com/office/spreadsheetml/2009/9/main" objectType="CheckBox" fmlaLink="$AM$80" lockText="1" noThreeD="1"/>
</file>

<file path=xl/ctrlProps/ctrlProp23.xml><?xml version="1.0" encoding="utf-8"?>
<formControlPr xmlns="http://schemas.microsoft.com/office/spreadsheetml/2009/9/main" objectType="CheckBox" fmlaLink="$AN$80" lockText="1" noThreeD="1"/>
</file>

<file path=xl/ctrlProps/ctrlProp24.xml><?xml version="1.0" encoding="utf-8"?>
<formControlPr xmlns="http://schemas.microsoft.com/office/spreadsheetml/2009/9/main" objectType="CheckBox" fmlaLink="$AP$78" lockText="1" noThreeD="1"/>
</file>

<file path=xl/ctrlProps/ctrlProp25.xml><?xml version="1.0" encoding="utf-8"?>
<formControlPr xmlns="http://schemas.microsoft.com/office/spreadsheetml/2009/9/main" objectType="CheckBox" fmlaLink="$AP$80" lockText="1" noThreeD="1"/>
</file>

<file path=xl/ctrlProps/ctrlProp26.xml><?xml version="1.0" encoding="utf-8"?>
<formControlPr xmlns="http://schemas.microsoft.com/office/spreadsheetml/2009/9/main" objectType="CheckBox" fmlaLink="$AL$82" lockText="1" noThreeD="1"/>
</file>

<file path=xl/ctrlProps/ctrlProp27.xml><?xml version="1.0" encoding="utf-8"?>
<formControlPr xmlns="http://schemas.microsoft.com/office/spreadsheetml/2009/9/main" objectType="CheckBox" fmlaLink="$AL$84" lockText="1" noThreeD="1"/>
</file>

<file path=xl/ctrlProps/ctrlProp28.xml><?xml version="1.0" encoding="utf-8"?>
<formControlPr xmlns="http://schemas.microsoft.com/office/spreadsheetml/2009/9/main" objectType="CheckBox" fmlaLink="$AM$82" lockText="1" noThreeD="1"/>
</file>

<file path=xl/ctrlProps/ctrlProp29.xml><?xml version="1.0" encoding="utf-8"?>
<formControlPr xmlns="http://schemas.microsoft.com/office/spreadsheetml/2009/9/main" objectType="CheckBox" fmlaLink="$AM$84"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fmlaLink="$AN$82" lockText="1" noThreeD="1"/>
</file>

<file path=xl/ctrlProps/ctrlProp31.xml><?xml version="1.0" encoding="utf-8"?>
<formControlPr xmlns="http://schemas.microsoft.com/office/spreadsheetml/2009/9/main" objectType="CheckBox" fmlaLink="$AN$84" lockText="1" noThreeD="1"/>
</file>

<file path=xl/ctrlProps/ctrlProp32.xml><?xml version="1.0" encoding="utf-8"?>
<formControlPr xmlns="http://schemas.microsoft.com/office/spreadsheetml/2009/9/main" objectType="CheckBox" fmlaLink="$AP$82" lockText="1" noThreeD="1"/>
</file>

<file path=xl/ctrlProps/ctrlProp33.xml><?xml version="1.0" encoding="utf-8"?>
<formControlPr xmlns="http://schemas.microsoft.com/office/spreadsheetml/2009/9/main" objectType="CheckBox" fmlaLink="$AP$84"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fmlaLink="$AK$48" lockText="1" noThreeD="1"/>
</file>

<file path=xl/ctrlProps/ctrlProp38.xml><?xml version="1.0" encoding="utf-8"?>
<formControlPr xmlns="http://schemas.microsoft.com/office/spreadsheetml/2009/9/main" objectType="CheckBox" fmlaLink="$AL$48" lockText="1" noThreeD="1"/>
</file>

<file path=xl/ctrlProps/ctrlProp39.xml><?xml version="1.0" encoding="utf-8"?>
<formControlPr xmlns="http://schemas.microsoft.com/office/spreadsheetml/2009/9/main" objectType="CheckBox" fmlaLink="$AM$48"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K$50" lockText="1" noThreeD="1"/>
</file>

<file path=xl/ctrlProps/ctrlProp41.xml><?xml version="1.0" encoding="utf-8"?>
<formControlPr xmlns="http://schemas.microsoft.com/office/spreadsheetml/2009/9/main" objectType="CheckBox" fmlaLink="$AL$50" lockText="1" noThreeD="1"/>
</file>

<file path=xl/ctrlProps/ctrlProp42.xml><?xml version="1.0" encoding="utf-8"?>
<formControlPr xmlns="http://schemas.microsoft.com/office/spreadsheetml/2009/9/main" objectType="CheckBox" fmlaLink="$AM$50" lockText="1" noThreeD="1"/>
</file>

<file path=xl/ctrlProps/ctrlProp43.xml><?xml version="1.0" encoding="utf-8"?>
<formControlPr xmlns="http://schemas.microsoft.com/office/spreadsheetml/2009/9/main" objectType="CheckBox" fmlaLink="$AO$48" lockText="1" noThreeD="1"/>
</file>

<file path=xl/ctrlProps/ctrlProp44.xml><?xml version="1.0" encoding="utf-8"?>
<formControlPr xmlns="http://schemas.microsoft.com/office/spreadsheetml/2009/9/main" objectType="CheckBox" fmlaLink="$AO$50" lockText="1" noThreeD="1"/>
</file>

<file path=xl/ctrlProps/ctrlProp45.xml><?xml version="1.0" encoding="utf-8"?>
<formControlPr xmlns="http://schemas.microsoft.com/office/spreadsheetml/2009/9/main" objectType="CheckBox" fmlaLink="$AK$52" lockText="1" noThreeD="1"/>
</file>

<file path=xl/ctrlProps/ctrlProp46.xml><?xml version="1.0" encoding="utf-8"?>
<formControlPr xmlns="http://schemas.microsoft.com/office/spreadsheetml/2009/9/main" objectType="CheckBox" fmlaLink="$AK$54" lockText="1" noThreeD="1"/>
</file>

<file path=xl/ctrlProps/ctrlProp47.xml><?xml version="1.0" encoding="utf-8"?>
<formControlPr xmlns="http://schemas.microsoft.com/office/spreadsheetml/2009/9/main" objectType="CheckBox" fmlaLink="$AL$52" lockText="1" noThreeD="1"/>
</file>

<file path=xl/ctrlProps/ctrlProp48.xml><?xml version="1.0" encoding="utf-8"?>
<formControlPr xmlns="http://schemas.microsoft.com/office/spreadsheetml/2009/9/main" objectType="CheckBox" fmlaLink="$AL$54" lockText="1" noThreeD="1"/>
</file>

<file path=xl/ctrlProps/ctrlProp49.xml><?xml version="1.0" encoding="utf-8"?>
<formControlPr xmlns="http://schemas.microsoft.com/office/spreadsheetml/2009/9/main" objectType="CheckBox" fmlaLink="$AM$52"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CheckBox" fmlaLink="$AM$54" lockText="1" noThreeD="1"/>
</file>

<file path=xl/ctrlProps/ctrlProp51.xml><?xml version="1.0" encoding="utf-8"?>
<formControlPr xmlns="http://schemas.microsoft.com/office/spreadsheetml/2009/9/main" objectType="CheckBox" fmlaLink="$AO$52" lockText="1" noThreeD="1"/>
</file>

<file path=xl/ctrlProps/ctrlProp52.xml><?xml version="1.0" encoding="utf-8"?>
<formControlPr xmlns="http://schemas.microsoft.com/office/spreadsheetml/2009/9/main" objectType="CheckBox" fmlaLink="$AO$54" lockText="1" noThreeD="1"/>
</file>

<file path=xl/ctrlProps/ctrlProp53.xml><?xml version="1.0" encoding="utf-8"?>
<formControlPr xmlns="http://schemas.microsoft.com/office/spreadsheetml/2009/9/main" objectType="CheckBox" fmlaLink="$AL$39" lockText="1" noThreeD="1"/>
</file>

<file path=xl/ctrlProps/ctrlProp54.xml><?xml version="1.0" encoding="utf-8"?>
<formControlPr xmlns="http://schemas.microsoft.com/office/spreadsheetml/2009/9/main" objectType="CheckBox" fmlaLink="$AM$39" lockText="1" noThreeD="1"/>
</file>

<file path=xl/ctrlProps/ctrlProp55.xml><?xml version="1.0" encoding="utf-8"?>
<formControlPr xmlns="http://schemas.microsoft.com/office/spreadsheetml/2009/9/main" objectType="CheckBox" fmlaLink="$AN$3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5</xdr:col>
          <xdr:colOff>104775</xdr:colOff>
          <xdr:row>17</xdr:row>
          <xdr:rowOff>28575</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0</xdr:rowOff>
        </xdr:from>
        <xdr:to>
          <xdr:col>20</xdr:col>
          <xdr:colOff>104775</xdr:colOff>
          <xdr:row>17</xdr:row>
          <xdr:rowOff>28575</xdr:rowOff>
        </xdr:to>
        <xdr:sp macro="" textlink="">
          <xdr:nvSpPr>
            <xdr:cNvPr id="4102" name="Option Button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104775</xdr:colOff>
          <xdr:row>18</xdr:row>
          <xdr:rowOff>38100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xdr:row>
          <xdr:rowOff>0</xdr:rowOff>
        </xdr:from>
        <xdr:to>
          <xdr:col>20</xdr:col>
          <xdr:colOff>104775</xdr:colOff>
          <xdr:row>18</xdr:row>
          <xdr:rowOff>38100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5</xdr:col>
          <xdr:colOff>104775</xdr:colOff>
          <xdr:row>19</xdr:row>
          <xdr:rowOff>38100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xdr:row>
          <xdr:rowOff>0</xdr:rowOff>
        </xdr:from>
        <xdr:to>
          <xdr:col>20</xdr:col>
          <xdr:colOff>104775</xdr:colOff>
          <xdr:row>19</xdr:row>
          <xdr:rowOff>38100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5</xdr:col>
          <xdr:colOff>104775</xdr:colOff>
          <xdr:row>20</xdr:row>
          <xdr:rowOff>38100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35</xdr:col>
          <xdr:colOff>0</xdr:colOff>
          <xdr:row>21</xdr:row>
          <xdr:rowOff>0</xdr:rowOff>
        </xdr:to>
        <xdr:sp macro="" textlink="">
          <xdr:nvSpPr>
            <xdr:cNvPr id="4132" name="Group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28575</xdr:rowOff>
        </xdr:from>
        <xdr:to>
          <xdr:col>6</xdr:col>
          <xdr:colOff>9525</xdr:colOff>
          <xdr:row>33</xdr:row>
          <xdr:rowOff>238125</xdr:rowOff>
        </xdr:to>
        <xdr:sp macro="" textlink="">
          <xdr:nvSpPr>
            <xdr:cNvPr id="4235" name="Option Button 139" hidden="1">
              <a:extLst>
                <a:ext uri="{63B3BB69-23CF-44E3-9099-C40C66FF867C}">
                  <a14:compatExt spid="_x0000_s4235"/>
                </a:ext>
                <a:ext uri="{FF2B5EF4-FFF2-40B4-BE49-F238E27FC236}">
                  <a16:creationId xmlns:a16="http://schemas.microsoft.com/office/drawing/2014/main" id="{00000000-0008-0000-00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28575</xdr:rowOff>
        </xdr:from>
        <xdr:to>
          <xdr:col>13</xdr:col>
          <xdr:colOff>19050</xdr:colOff>
          <xdr:row>33</xdr:row>
          <xdr:rowOff>238125</xdr:rowOff>
        </xdr:to>
        <xdr:sp macro="" textlink="">
          <xdr:nvSpPr>
            <xdr:cNvPr id="4236" name="Option Button 140" hidden="1">
              <a:extLst>
                <a:ext uri="{63B3BB69-23CF-44E3-9099-C40C66FF867C}">
                  <a14:compatExt spid="_x0000_s4236"/>
                </a:ext>
                <a:ext uri="{FF2B5EF4-FFF2-40B4-BE49-F238E27FC236}">
                  <a16:creationId xmlns:a16="http://schemas.microsoft.com/office/drawing/2014/main" id="{00000000-0008-0000-00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33</xdr:row>
          <xdr:rowOff>28575</xdr:rowOff>
        </xdr:from>
        <xdr:to>
          <xdr:col>20</xdr:col>
          <xdr:colOff>0</xdr:colOff>
          <xdr:row>33</xdr:row>
          <xdr:rowOff>238125</xdr:rowOff>
        </xdr:to>
        <xdr:sp macro="" textlink="">
          <xdr:nvSpPr>
            <xdr:cNvPr id="4237" name="Option Button 141" hidden="1">
              <a:extLst>
                <a:ext uri="{63B3BB69-23CF-44E3-9099-C40C66FF867C}">
                  <a14:compatExt spid="_x0000_s4237"/>
                </a:ext>
                <a:ext uri="{FF2B5EF4-FFF2-40B4-BE49-F238E27FC236}">
                  <a16:creationId xmlns:a16="http://schemas.microsoft.com/office/drawing/2014/main" id="{00000000-0008-0000-00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33</xdr:row>
          <xdr:rowOff>28575</xdr:rowOff>
        </xdr:from>
        <xdr:to>
          <xdr:col>27</xdr:col>
          <xdr:colOff>9525</xdr:colOff>
          <xdr:row>33</xdr:row>
          <xdr:rowOff>238125</xdr:rowOff>
        </xdr:to>
        <xdr:sp macro="" textlink="">
          <xdr:nvSpPr>
            <xdr:cNvPr id="4238" name="Option Button 142" hidden="1">
              <a:extLst>
                <a:ext uri="{63B3BB69-23CF-44E3-9099-C40C66FF867C}">
                  <a14:compatExt spid="_x0000_s4238"/>
                </a:ext>
                <a:ext uri="{FF2B5EF4-FFF2-40B4-BE49-F238E27FC236}">
                  <a16:creationId xmlns:a16="http://schemas.microsoft.com/office/drawing/2014/main" id="{00000000-0008-0000-00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19050</xdr:rowOff>
        </xdr:from>
        <xdr:to>
          <xdr:col>6</xdr:col>
          <xdr:colOff>9525</xdr:colOff>
          <xdr:row>34</xdr:row>
          <xdr:rowOff>228600</xdr:rowOff>
        </xdr:to>
        <xdr:sp macro="" textlink="">
          <xdr:nvSpPr>
            <xdr:cNvPr id="4239" name="Option Button 143" hidden="1">
              <a:extLst>
                <a:ext uri="{63B3BB69-23CF-44E3-9099-C40C66FF867C}">
                  <a14:compatExt spid="_x0000_s4239"/>
                </a:ext>
                <a:ext uri="{FF2B5EF4-FFF2-40B4-BE49-F238E27FC236}">
                  <a16:creationId xmlns:a16="http://schemas.microsoft.com/office/drawing/2014/main" id="{00000000-0008-0000-00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19050</xdr:rowOff>
        </xdr:from>
        <xdr:to>
          <xdr:col>13</xdr:col>
          <xdr:colOff>19050</xdr:colOff>
          <xdr:row>34</xdr:row>
          <xdr:rowOff>228600</xdr:rowOff>
        </xdr:to>
        <xdr:sp macro="" textlink="">
          <xdr:nvSpPr>
            <xdr:cNvPr id="4241" name="Option Button 145" hidden="1">
              <a:extLst>
                <a:ext uri="{63B3BB69-23CF-44E3-9099-C40C66FF867C}">
                  <a14:compatExt spid="_x0000_s4241"/>
                </a:ext>
                <a:ext uri="{FF2B5EF4-FFF2-40B4-BE49-F238E27FC236}">
                  <a16:creationId xmlns:a16="http://schemas.microsoft.com/office/drawing/2014/main" id="{00000000-0008-0000-00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34</xdr:row>
          <xdr:rowOff>19050</xdr:rowOff>
        </xdr:from>
        <xdr:to>
          <xdr:col>20</xdr:col>
          <xdr:colOff>0</xdr:colOff>
          <xdr:row>34</xdr:row>
          <xdr:rowOff>228600</xdr:rowOff>
        </xdr:to>
        <xdr:sp macro="" textlink="">
          <xdr:nvSpPr>
            <xdr:cNvPr id="4242" name="Option Button 146" hidden="1">
              <a:extLst>
                <a:ext uri="{63B3BB69-23CF-44E3-9099-C40C66FF867C}">
                  <a14:compatExt spid="_x0000_s4242"/>
                </a:ext>
                <a:ext uri="{FF2B5EF4-FFF2-40B4-BE49-F238E27FC236}">
                  <a16:creationId xmlns:a16="http://schemas.microsoft.com/office/drawing/2014/main" id="{00000000-0008-0000-00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34</xdr:row>
          <xdr:rowOff>19050</xdr:rowOff>
        </xdr:from>
        <xdr:to>
          <xdr:col>27</xdr:col>
          <xdr:colOff>19050</xdr:colOff>
          <xdr:row>34</xdr:row>
          <xdr:rowOff>228600</xdr:rowOff>
        </xdr:to>
        <xdr:sp macro="" textlink="">
          <xdr:nvSpPr>
            <xdr:cNvPr id="4243" name="Option Button 147" hidden="1">
              <a:extLst>
                <a:ext uri="{63B3BB69-23CF-44E3-9099-C40C66FF867C}">
                  <a14:compatExt spid="_x0000_s4243"/>
                </a:ext>
                <a:ext uri="{FF2B5EF4-FFF2-40B4-BE49-F238E27FC236}">
                  <a16:creationId xmlns:a16="http://schemas.microsoft.com/office/drawing/2014/main" id="{00000000-0008-0000-00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35</xdr:col>
          <xdr:colOff>0</xdr:colOff>
          <xdr:row>35</xdr:row>
          <xdr:rowOff>0</xdr:rowOff>
        </xdr:to>
        <xdr:sp macro="" textlink="">
          <xdr:nvSpPr>
            <xdr:cNvPr id="4244" name="Group Box 148" hidden="1">
              <a:extLst>
                <a:ext uri="{63B3BB69-23CF-44E3-9099-C40C66FF867C}">
                  <a14:compatExt spid="_x0000_s4244"/>
                </a:ext>
                <a:ext uri="{FF2B5EF4-FFF2-40B4-BE49-F238E27FC236}">
                  <a16:creationId xmlns:a16="http://schemas.microsoft.com/office/drawing/2014/main" id="{00000000-0008-0000-0000-00009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75</xdr:row>
          <xdr:rowOff>180975</xdr:rowOff>
        </xdr:from>
        <xdr:to>
          <xdr:col>9</xdr:col>
          <xdr:colOff>38100</xdr:colOff>
          <xdr:row>77</xdr:row>
          <xdr:rowOff>9525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0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75</xdr:row>
          <xdr:rowOff>180975</xdr:rowOff>
        </xdr:from>
        <xdr:to>
          <xdr:col>15</xdr:col>
          <xdr:colOff>38100</xdr:colOff>
          <xdr:row>77</xdr:row>
          <xdr:rowOff>9525</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0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75</xdr:row>
          <xdr:rowOff>180975</xdr:rowOff>
        </xdr:from>
        <xdr:to>
          <xdr:col>21</xdr:col>
          <xdr:colOff>38100</xdr:colOff>
          <xdr:row>77</xdr:row>
          <xdr:rowOff>9525</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0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77</xdr:row>
          <xdr:rowOff>152400</xdr:rowOff>
        </xdr:from>
        <xdr:to>
          <xdr:col>9</xdr:col>
          <xdr:colOff>38100</xdr:colOff>
          <xdr:row>78</xdr:row>
          <xdr:rowOff>161925</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0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77</xdr:row>
          <xdr:rowOff>152400</xdr:rowOff>
        </xdr:from>
        <xdr:to>
          <xdr:col>15</xdr:col>
          <xdr:colOff>38100</xdr:colOff>
          <xdr:row>78</xdr:row>
          <xdr:rowOff>161925</xdr:rowOff>
        </xdr:to>
        <xdr:sp macro="" textlink="">
          <xdr:nvSpPr>
            <xdr:cNvPr id="4275" name="Check Box 179" hidden="1">
              <a:extLst>
                <a:ext uri="{63B3BB69-23CF-44E3-9099-C40C66FF867C}">
                  <a14:compatExt spid="_x0000_s4275"/>
                </a:ext>
                <a:ext uri="{FF2B5EF4-FFF2-40B4-BE49-F238E27FC236}">
                  <a16:creationId xmlns:a16="http://schemas.microsoft.com/office/drawing/2014/main" id="{00000000-0008-0000-00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77</xdr:row>
          <xdr:rowOff>152400</xdr:rowOff>
        </xdr:from>
        <xdr:to>
          <xdr:col>21</xdr:col>
          <xdr:colOff>38100</xdr:colOff>
          <xdr:row>78</xdr:row>
          <xdr:rowOff>161925</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0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75</xdr:row>
          <xdr:rowOff>180975</xdr:rowOff>
        </xdr:from>
        <xdr:to>
          <xdr:col>28</xdr:col>
          <xdr:colOff>38100</xdr:colOff>
          <xdr:row>77</xdr:row>
          <xdr:rowOff>9525</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0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77</xdr:row>
          <xdr:rowOff>152400</xdr:rowOff>
        </xdr:from>
        <xdr:to>
          <xdr:col>28</xdr:col>
          <xdr:colOff>38100</xdr:colOff>
          <xdr:row>78</xdr:row>
          <xdr:rowOff>161925</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0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79</xdr:row>
          <xdr:rowOff>161925</xdr:rowOff>
        </xdr:from>
        <xdr:to>
          <xdr:col>9</xdr:col>
          <xdr:colOff>38100</xdr:colOff>
          <xdr:row>81</xdr:row>
          <xdr:rowOff>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0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81</xdr:row>
          <xdr:rowOff>133350</xdr:rowOff>
        </xdr:from>
        <xdr:to>
          <xdr:col>9</xdr:col>
          <xdr:colOff>38100</xdr:colOff>
          <xdr:row>83</xdr:row>
          <xdr:rowOff>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0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79</xdr:row>
          <xdr:rowOff>161925</xdr:rowOff>
        </xdr:from>
        <xdr:to>
          <xdr:col>15</xdr:col>
          <xdr:colOff>38100</xdr:colOff>
          <xdr:row>81</xdr:row>
          <xdr:rowOff>0</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0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81</xdr:row>
          <xdr:rowOff>133350</xdr:rowOff>
        </xdr:from>
        <xdr:to>
          <xdr:col>15</xdr:col>
          <xdr:colOff>38100</xdr:colOff>
          <xdr:row>83</xdr:row>
          <xdr:rowOff>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0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79</xdr:row>
          <xdr:rowOff>161925</xdr:rowOff>
        </xdr:from>
        <xdr:to>
          <xdr:col>21</xdr:col>
          <xdr:colOff>38100</xdr:colOff>
          <xdr:row>81</xdr:row>
          <xdr:rowOff>0</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0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81</xdr:row>
          <xdr:rowOff>142875</xdr:rowOff>
        </xdr:from>
        <xdr:to>
          <xdr:col>21</xdr:col>
          <xdr:colOff>38100</xdr:colOff>
          <xdr:row>83</xdr:row>
          <xdr:rowOff>9525</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00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79</xdr:row>
          <xdr:rowOff>161925</xdr:rowOff>
        </xdr:from>
        <xdr:to>
          <xdr:col>28</xdr:col>
          <xdr:colOff>38100</xdr:colOff>
          <xdr:row>81</xdr:row>
          <xdr:rowOff>0</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0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81</xdr:row>
          <xdr:rowOff>152400</xdr:rowOff>
        </xdr:from>
        <xdr:to>
          <xdr:col>28</xdr:col>
          <xdr:colOff>38100</xdr:colOff>
          <xdr:row>83</xdr:row>
          <xdr:rowOff>19050</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0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56</xdr:row>
          <xdr:rowOff>152400</xdr:rowOff>
        </xdr:from>
        <xdr:to>
          <xdr:col>2</xdr:col>
          <xdr:colOff>38100</xdr:colOff>
          <xdr:row>57</xdr:row>
          <xdr:rowOff>209550</xdr:rowOff>
        </xdr:to>
        <xdr:sp macro="" textlink="">
          <xdr:nvSpPr>
            <xdr:cNvPr id="39943" name="Option Button 7" hidden="1">
              <a:extLst>
                <a:ext uri="{63B3BB69-23CF-44E3-9099-C40C66FF867C}">
                  <a14:compatExt spid="_x0000_s39943"/>
                </a:ext>
                <a:ext uri="{FF2B5EF4-FFF2-40B4-BE49-F238E27FC236}">
                  <a16:creationId xmlns:a16="http://schemas.microsoft.com/office/drawing/2014/main" id="{00000000-0008-0000-02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58</xdr:row>
          <xdr:rowOff>219075</xdr:rowOff>
        </xdr:to>
        <xdr:sp macro="" textlink="">
          <xdr:nvSpPr>
            <xdr:cNvPr id="39944" name="Option Button 8" hidden="1">
              <a:extLst>
                <a:ext uri="{63B3BB69-23CF-44E3-9099-C40C66FF867C}">
                  <a14:compatExt spid="_x0000_s39944"/>
                </a:ext>
                <a:ext uri="{FF2B5EF4-FFF2-40B4-BE49-F238E27FC236}">
                  <a16:creationId xmlns:a16="http://schemas.microsoft.com/office/drawing/2014/main" id="{00000000-0008-0000-02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0</xdr:colOff>
          <xdr:row>59</xdr:row>
          <xdr:rowOff>228600</xdr:rowOff>
        </xdr:to>
        <xdr:sp macro="" textlink="">
          <xdr:nvSpPr>
            <xdr:cNvPr id="39945" name="Option Button 9" hidden="1">
              <a:extLst>
                <a:ext uri="{63B3BB69-23CF-44E3-9099-C40C66FF867C}">
                  <a14:compatExt spid="_x0000_s39945"/>
                </a:ext>
                <a:ext uri="{FF2B5EF4-FFF2-40B4-BE49-F238E27FC236}">
                  <a16:creationId xmlns:a16="http://schemas.microsoft.com/office/drawing/2014/main" id="{00000000-0008-0000-02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46</xdr:row>
          <xdr:rowOff>180975</xdr:rowOff>
        </xdr:from>
        <xdr:to>
          <xdr:col>9</xdr:col>
          <xdr:colOff>28575</xdr:colOff>
          <xdr:row>48</xdr:row>
          <xdr:rowOff>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6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46</xdr:row>
          <xdr:rowOff>180975</xdr:rowOff>
        </xdr:from>
        <xdr:to>
          <xdr:col>15</xdr:col>
          <xdr:colOff>28575</xdr:colOff>
          <xdr:row>48</xdr:row>
          <xdr:rowOff>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6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46</xdr:row>
          <xdr:rowOff>180975</xdr:rowOff>
        </xdr:from>
        <xdr:to>
          <xdr:col>21</xdr:col>
          <xdr:colOff>28575</xdr:colOff>
          <xdr:row>48</xdr:row>
          <xdr:rowOff>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6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48</xdr:row>
          <xdr:rowOff>152400</xdr:rowOff>
        </xdr:from>
        <xdr:to>
          <xdr:col>9</xdr:col>
          <xdr:colOff>28575</xdr:colOff>
          <xdr:row>50</xdr:row>
          <xdr:rowOff>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6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48</xdr:row>
          <xdr:rowOff>152400</xdr:rowOff>
        </xdr:from>
        <xdr:to>
          <xdr:col>15</xdr:col>
          <xdr:colOff>28575</xdr:colOff>
          <xdr:row>50</xdr:row>
          <xdr:rowOff>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6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48</xdr:row>
          <xdr:rowOff>152400</xdr:rowOff>
        </xdr:from>
        <xdr:to>
          <xdr:col>21</xdr:col>
          <xdr:colOff>28575</xdr:colOff>
          <xdr:row>50</xdr:row>
          <xdr:rowOff>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6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46</xdr:row>
          <xdr:rowOff>180975</xdr:rowOff>
        </xdr:from>
        <xdr:to>
          <xdr:col>28</xdr:col>
          <xdr:colOff>28575</xdr:colOff>
          <xdr:row>48</xdr:row>
          <xdr:rowOff>0</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6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48</xdr:row>
          <xdr:rowOff>152400</xdr:rowOff>
        </xdr:from>
        <xdr:to>
          <xdr:col>28</xdr:col>
          <xdr:colOff>28575</xdr:colOff>
          <xdr:row>50</xdr:row>
          <xdr:rowOff>0</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6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50</xdr:row>
          <xdr:rowOff>161925</xdr:rowOff>
        </xdr:from>
        <xdr:to>
          <xdr:col>9</xdr:col>
          <xdr:colOff>28575</xdr:colOff>
          <xdr:row>52</xdr:row>
          <xdr:rowOff>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6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52</xdr:row>
          <xdr:rowOff>133350</xdr:rowOff>
        </xdr:from>
        <xdr:to>
          <xdr:col>9</xdr:col>
          <xdr:colOff>28575</xdr:colOff>
          <xdr:row>54</xdr:row>
          <xdr:rowOff>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6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50</xdr:row>
          <xdr:rowOff>161925</xdr:rowOff>
        </xdr:from>
        <xdr:to>
          <xdr:col>15</xdr:col>
          <xdr:colOff>28575</xdr:colOff>
          <xdr:row>52</xdr:row>
          <xdr:rowOff>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6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52</xdr:row>
          <xdr:rowOff>133350</xdr:rowOff>
        </xdr:from>
        <xdr:to>
          <xdr:col>15</xdr:col>
          <xdr:colOff>28575</xdr:colOff>
          <xdr:row>54</xdr:row>
          <xdr:rowOff>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6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50</xdr:row>
          <xdr:rowOff>161925</xdr:rowOff>
        </xdr:from>
        <xdr:to>
          <xdr:col>21</xdr:col>
          <xdr:colOff>28575</xdr:colOff>
          <xdr:row>52</xdr:row>
          <xdr:rowOff>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6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52</xdr:row>
          <xdr:rowOff>142875</xdr:rowOff>
        </xdr:from>
        <xdr:to>
          <xdr:col>21</xdr:col>
          <xdr:colOff>28575</xdr:colOff>
          <xdr:row>54</xdr:row>
          <xdr:rowOff>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6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50</xdr:row>
          <xdr:rowOff>161925</xdr:rowOff>
        </xdr:from>
        <xdr:to>
          <xdr:col>28</xdr:col>
          <xdr:colOff>28575</xdr:colOff>
          <xdr:row>52</xdr:row>
          <xdr:rowOff>0</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6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52</xdr:row>
          <xdr:rowOff>152400</xdr:rowOff>
        </xdr:from>
        <xdr:to>
          <xdr:col>28</xdr:col>
          <xdr:colOff>28575</xdr:colOff>
          <xdr:row>54</xdr:row>
          <xdr:rowOff>0</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6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38</xdr:row>
          <xdr:rowOff>19050</xdr:rowOff>
        </xdr:from>
        <xdr:to>
          <xdr:col>9</xdr:col>
          <xdr:colOff>104775</xdr:colOff>
          <xdr:row>38</xdr:row>
          <xdr:rowOff>266700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B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38</xdr:row>
          <xdr:rowOff>19050</xdr:rowOff>
        </xdr:from>
        <xdr:to>
          <xdr:col>15</xdr:col>
          <xdr:colOff>95250</xdr:colOff>
          <xdr:row>38</xdr:row>
          <xdr:rowOff>266700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B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38</xdr:row>
          <xdr:rowOff>28575</xdr:rowOff>
        </xdr:from>
        <xdr:to>
          <xdr:col>21</xdr:col>
          <xdr:colOff>104775</xdr:colOff>
          <xdr:row>39</xdr:row>
          <xdr:rowOff>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B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omments" Target="../comments5.xml"/><Relationship Id="rId2" Type="http://schemas.openxmlformats.org/officeDocument/2006/relationships/drawing" Target="../drawings/drawing4.xml"/><Relationship Id="rId1" Type="http://schemas.openxmlformats.org/officeDocument/2006/relationships/printerSettings" Target="../printerSettings/printerSettings12.bin"/><Relationship Id="rId6" Type="http://schemas.openxmlformats.org/officeDocument/2006/relationships/ctrlProp" Target="../ctrlProps/ctrlProp55.xml"/><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6.xml"/><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3" Type="http://schemas.openxmlformats.org/officeDocument/2006/relationships/vmlDrawing" Target="../drawings/vmlDrawing5.v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 Type="http://schemas.openxmlformats.org/officeDocument/2006/relationships/drawing" Target="../drawings/drawing3.xml"/><Relationship Id="rId16" Type="http://schemas.openxmlformats.org/officeDocument/2006/relationships/ctrlProp" Target="../ctrlProps/ctrlProp49.xml"/><Relationship Id="rId20" Type="http://schemas.openxmlformats.org/officeDocument/2006/relationships/comments" Target="../comments3.xml"/><Relationship Id="rId1" Type="http://schemas.openxmlformats.org/officeDocument/2006/relationships/printerSettings" Target="../printerSettings/printerSettings7.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5" Type="http://schemas.openxmlformats.org/officeDocument/2006/relationships/ctrlProp" Target="../ctrlProps/ctrlProp48.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Q114"/>
  <sheetViews>
    <sheetView tabSelected="1" view="pageBreakPreview" zoomScaleNormal="100" zoomScaleSheetLayoutView="100" workbookViewId="0">
      <selection activeCell="AU21" sqref="AU21"/>
    </sheetView>
  </sheetViews>
  <sheetFormatPr defaultColWidth="9" defaultRowHeight="12"/>
  <cols>
    <col min="1" max="35" width="2.625" style="199" customWidth="1"/>
    <col min="36" max="36" width="1.625" style="199" customWidth="1"/>
    <col min="37" max="37" width="3.125" style="199" hidden="1" customWidth="1"/>
    <col min="38" max="40" width="6.5" style="199" hidden="1" customWidth="1"/>
    <col min="41" max="41" width="2.625" style="199" hidden="1" customWidth="1"/>
    <col min="42" max="43" width="6.5" style="199" hidden="1" customWidth="1"/>
    <col min="44" max="44" width="6.5" style="199" customWidth="1"/>
    <col min="45" max="45" width="7.5" style="199" customWidth="1"/>
    <col min="46" max="65" width="3.125" style="199" customWidth="1"/>
    <col min="66" max="68" width="9" style="199" customWidth="1"/>
    <col min="69" max="16384" width="9" style="199"/>
  </cols>
  <sheetData>
    <row r="1" spans="1:36" ht="12" customHeight="1">
      <c r="A1" s="143" t="s">
        <v>273</v>
      </c>
      <c r="B1" s="143"/>
      <c r="C1" s="143"/>
      <c r="D1" s="143"/>
      <c r="E1" s="143"/>
      <c r="F1" s="143"/>
      <c r="G1" s="143"/>
      <c r="H1" s="143"/>
      <c r="I1" s="143"/>
      <c r="J1" s="143"/>
      <c r="K1" s="143"/>
      <c r="L1" s="195"/>
      <c r="M1" s="195"/>
      <c r="N1" s="195"/>
      <c r="O1" s="195"/>
      <c r="P1" s="195"/>
      <c r="Q1" s="195"/>
      <c r="R1" s="195"/>
      <c r="S1" s="143"/>
      <c r="T1" s="143"/>
      <c r="U1" s="143"/>
      <c r="V1" s="143"/>
      <c r="W1" s="143"/>
      <c r="X1" s="143"/>
      <c r="Y1" s="143"/>
      <c r="Z1" s="143"/>
      <c r="AA1" s="174"/>
      <c r="AB1" s="767" t="s">
        <v>12</v>
      </c>
      <c r="AC1" s="768"/>
      <c r="AD1" s="769"/>
      <c r="AE1" s="767" t="s">
        <v>13</v>
      </c>
      <c r="AF1" s="768"/>
      <c r="AG1" s="769"/>
      <c r="AH1" s="767" t="str">
        <f>IF(OR(内訳書!L2="○",内訳書!L2="◎"),"番号","番号")</f>
        <v>番号</v>
      </c>
      <c r="AI1" s="768"/>
      <c r="AJ1" s="769"/>
    </row>
    <row r="2" spans="1:36" ht="13.5" customHeight="1">
      <c r="A2" s="143"/>
      <c r="B2" s="143"/>
      <c r="C2" s="143"/>
      <c r="D2" s="143"/>
      <c r="E2" s="143"/>
      <c r="F2" s="143"/>
      <c r="G2" s="143"/>
      <c r="H2" s="143"/>
      <c r="I2" s="143"/>
      <c r="J2" s="143"/>
      <c r="K2" s="143"/>
      <c r="L2" s="195"/>
      <c r="M2" s="195"/>
      <c r="N2" s="195"/>
      <c r="O2" s="195"/>
      <c r="P2" s="195"/>
      <c r="Q2" s="195"/>
      <c r="R2" s="195"/>
      <c r="S2" s="143"/>
      <c r="T2" s="143"/>
      <c r="U2" s="315"/>
      <c r="V2" s="315"/>
      <c r="W2" s="315"/>
      <c r="X2" s="316"/>
      <c r="Y2" s="316"/>
      <c r="Z2" s="316"/>
      <c r="AA2" s="317"/>
      <c r="AB2" s="770"/>
      <c r="AC2" s="771"/>
      <c r="AD2" s="772"/>
      <c r="AE2" s="779"/>
      <c r="AF2" s="780"/>
      <c r="AG2" s="781"/>
      <c r="AH2" s="779"/>
      <c r="AI2" s="780"/>
      <c r="AJ2" s="781"/>
    </row>
    <row r="3" spans="1:36">
      <c r="A3" s="143"/>
      <c r="B3" s="143"/>
      <c r="C3" s="143"/>
      <c r="D3" s="143"/>
      <c r="E3" s="143"/>
      <c r="F3" s="143"/>
      <c r="G3" s="143"/>
      <c r="H3" s="143"/>
      <c r="I3" s="143"/>
      <c r="J3" s="143"/>
      <c r="K3" s="143"/>
      <c r="L3" s="195"/>
      <c r="M3" s="195"/>
      <c r="N3" s="195"/>
      <c r="O3" s="195"/>
      <c r="P3" s="195"/>
      <c r="Q3" s="195"/>
      <c r="R3" s="195"/>
      <c r="S3" s="143"/>
      <c r="T3" s="143"/>
      <c r="U3" s="315"/>
      <c r="V3" s="315"/>
      <c r="W3" s="315"/>
      <c r="X3" s="316"/>
      <c r="Y3" s="316"/>
      <c r="Z3" s="316"/>
      <c r="AA3" s="317"/>
      <c r="AB3" s="773"/>
      <c r="AC3" s="774"/>
      <c r="AD3" s="775"/>
      <c r="AE3" s="782"/>
      <c r="AF3" s="783"/>
      <c r="AG3" s="784"/>
      <c r="AH3" s="782"/>
      <c r="AI3" s="783"/>
      <c r="AJ3" s="784"/>
    </row>
    <row r="4" spans="1:36">
      <c r="A4" s="143"/>
      <c r="B4" s="143"/>
      <c r="C4" s="143"/>
      <c r="D4" s="143"/>
      <c r="E4" s="144"/>
      <c r="F4" s="143"/>
      <c r="G4" s="143"/>
      <c r="H4" s="143"/>
      <c r="I4" s="143"/>
      <c r="J4" s="143"/>
      <c r="K4" s="143"/>
      <c r="L4" s="143"/>
      <c r="M4" s="143"/>
      <c r="N4" s="143"/>
      <c r="O4" s="143"/>
      <c r="P4" s="143"/>
      <c r="Q4" s="143"/>
      <c r="R4" s="143"/>
      <c r="S4" s="143"/>
      <c r="T4" s="143"/>
      <c r="U4" s="315"/>
      <c r="V4" s="315"/>
      <c r="W4" s="315"/>
      <c r="X4" s="316"/>
      <c r="Y4" s="316"/>
      <c r="Z4" s="316"/>
      <c r="AA4" s="317"/>
      <c r="AB4" s="776"/>
      <c r="AC4" s="777"/>
      <c r="AD4" s="778"/>
      <c r="AE4" s="785"/>
      <c r="AF4" s="786"/>
      <c r="AG4" s="787"/>
      <c r="AH4" s="785"/>
      <c r="AI4" s="786"/>
      <c r="AJ4" s="787"/>
    </row>
    <row r="5" spans="1:36">
      <c r="A5" s="143"/>
      <c r="B5" s="143"/>
      <c r="C5" s="143"/>
      <c r="D5" s="143"/>
      <c r="E5" s="144"/>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row>
    <row r="6" spans="1:36" ht="17.25">
      <c r="A6" s="633" t="s">
        <v>311</v>
      </c>
      <c r="B6" s="633"/>
      <c r="C6" s="633"/>
      <c r="D6" s="633"/>
      <c r="E6" s="633"/>
      <c r="F6" s="633"/>
      <c r="G6" s="633"/>
      <c r="H6" s="633"/>
      <c r="I6" s="633"/>
      <c r="J6" s="633"/>
      <c r="K6" s="633"/>
      <c r="L6" s="633"/>
      <c r="M6" s="633"/>
      <c r="N6" s="633"/>
      <c r="O6" s="633"/>
      <c r="P6" s="633"/>
      <c r="Q6" s="633"/>
      <c r="R6" s="633"/>
      <c r="S6" s="633"/>
      <c r="T6" s="633"/>
      <c r="U6" s="633"/>
      <c r="V6" s="633"/>
      <c r="W6" s="633"/>
      <c r="X6" s="633"/>
      <c r="Y6" s="633"/>
      <c r="Z6" s="633"/>
      <c r="AA6" s="633"/>
      <c r="AB6" s="633"/>
      <c r="AC6" s="633"/>
      <c r="AD6" s="633"/>
      <c r="AE6" s="633"/>
      <c r="AF6" s="633"/>
      <c r="AG6" s="633"/>
      <c r="AH6" s="633"/>
      <c r="AI6" s="633"/>
      <c r="AJ6" s="143"/>
    </row>
    <row r="7" spans="1:36">
      <c r="A7" s="461"/>
      <c r="B7" s="461"/>
      <c r="C7" s="461"/>
      <c r="D7" s="461"/>
      <c r="E7" s="461"/>
      <c r="F7" s="461"/>
      <c r="G7" s="461"/>
      <c r="H7" s="461"/>
      <c r="I7" s="461"/>
      <c r="J7" s="461"/>
      <c r="K7" s="461"/>
      <c r="L7" s="461"/>
      <c r="M7" s="461"/>
      <c r="N7" s="461"/>
      <c r="O7" s="461"/>
      <c r="P7" s="461"/>
      <c r="Q7" s="461"/>
      <c r="R7" s="461"/>
      <c r="S7" s="461"/>
      <c r="T7" s="461"/>
      <c r="U7" s="461"/>
      <c r="V7" s="461"/>
      <c r="W7" s="461"/>
      <c r="X7" s="461"/>
      <c r="Y7" s="461"/>
      <c r="Z7" s="461"/>
      <c r="AA7" s="461"/>
      <c r="AB7" s="461"/>
      <c r="AC7" s="461"/>
      <c r="AD7" s="461"/>
      <c r="AE7" s="461"/>
      <c r="AF7" s="461"/>
      <c r="AG7" s="461"/>
      <c r="AH7" s="461"/>
      <c r="AI7" s="461"/>
      <c r="AJ7" s="143"/>
    </row>
    <row r="8" spans="1:36">
      <c r="A8" s="143"/>
      <c r="B8" s="143"/>
      <c r="C8" s="143"/>
      <c r="D8" s="143"/>
      <c r="E8" s="144"/>
      <c r="F8" s="143"/>
      <c r="G8" s="143"/>
      <c r="H8" s="143"/>
      <c r="I8" s="143"/>
      <c r="J8" s="143"/>
      <c r="K8" s="143"/>
      <c r="L8" s="195"/>
      <c r="M8" s="195"/>
      <c r="N8" s="195"/>
      <c r="O8" s="195"/>
      <c r="P8" s="195"/>
      <c r="Q8" s="195"/>
      <c r="R8" s="195"/>
      <c r="S8" s="143"/>
      <c r="T8" s="143"/>
      <c r="U8" s="143"/>
      <c r="V8" s="143"/>
      <c r="W8" s="143"/>
      <c r="X8" s="143"/>
      <c r="Y8" s="143"/>
      <c r="Z8" s="143"/>
      <c r="AA8" s="143"/>
      <c r="AB8" s="143"/>
      <c r="AC8" s="143"/>
      <c r="AD8" s="143"/>
      <c r="AE8" s="143"/>
      <c r="AF8" s="143"/>
      <c r="AG8" s="143"/>
      <c r="AH8" s="143"/>
      <c r="AI8" s="143"/>
      <c r="AJ8" s="143"/>
    </row>
    <row r="9" spans="1:36">
      <c r="A9" s="143" t="s">
        <v>364</v>
      </c>
      <c r="B9" s="143"/>
      <c r="C9" s="143"/>
      <c r="D9" s="143"/>
      <c r="E9" s="143"/>
      <c r="F9" s="143"/>
      <c r="G9" s="143"/>
      <c r="H9" s="143"/>
      <c r="I9" s="143"/>
      <c r="J9" s="143"/>
      <c r="K9" s="143"/>
      <c r="L9" s="195"/>
      <c r="M9" s="195"/>
      <c r="N9" s="195"/>
      <c r="O9" s="195"/>
      <c r="P9" s="195"/>
      <c r="Q9" s="195"/>
      <c r="R9" s="195"/>
      <c r="S9" s="143"/>
      <c r="T9" s="143"/>
      <c r="U9" s="143"/>
      <c r="V9" s="143"/>
      <c r="W9" s="143"/>
      <c r="X9" s="143"/>
      <c r="Y9" s="143"/>
      <c r="Z9" s="143"/>
      <c r="AA9" s="143"/>
      <c r="AB9" s="143"/>
      <c r="AC9" s="143"/>
      <c r="AD9" s="143"/>
      <c r="AE9" s="143"/>
      <c r="AF9" s="143"/>
      <c r="AG9" s="143"/>
      <c r="AH9" s="143"/>
      <c r="AI9" s="143"/>
      <c r="AJ9" s="143"/>
    </row>
    <row r="10" spans="1:36">
      <c r="A10" s="143"/>
      <c r="B10" s="143"/>
      <c r="C10" s="143"/>
      <c r="D10" s="143"/>
      <c r="E10" s="143"/>
      <c r="F10" s="143"/>
      <c r="G10" s="143"/>
      <c r="H10" s="143"/>
      <c r="I10" s="143"/>
      <c r="J10" s="143"/>
      <c r="K10" s="143"/>
      <c r="L10" s="195"/>
      <c r="M10" s="195"/>
      <c r="N10" s="195"/>
      <c r="O10" s="195"/>
      <c r="P10" s="195"/>
      <c r="Q10" s="195"/>
      <c r="R10" s="195"/>
      <c r="S10" s="143"/>
      <c r="T10" s="143"/>
      <c r="U10" s="143"/>
      <c r="V10" s="143"/>
      <c r="W10" s="143"/>
      <c r="X10" s="143"/>
      <c r="Y10" s="143"/>
      <c r="Z10" s="143"/>
      <c r="AA10" s="143"/>
      <c r="AB10" s="143"/>
      <c r="AC10" s="143"/>
      <c r="AD10" s="143"/>
      <c r="AE10" s="143"/>
      <c r="AF10" s="143"/>
      <c r="AG10" s="143"/>
      <c r="AH10" s="143"/>
      <c r="AI10" s="143"/>
      <c r="AJ10" s="143"/>
    </row>
    <row r="11" spans="1:36" ht="12" customHeight="1">
      <c r="A11" s="462" t="s">
        <v>274</v>
      </c>
      <c r="B11" s="462"/>
      <c r="C11" s="462"/>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2"/>
      <c r="AF11" s="462"/>
      <c r="AG11" s="462"/>
      <c r="AH11" s="462"/>
      <c r="AI11" s="462"/>
      <c r="AJ11" s="143"/>
    </row>
    <row r="12" spans="1:36">
      <c r="A12" s="462"/>
      <c r="B12" s="462"/>
      <c r="C12" s="462"/>
      <c r="D12" s="462"/>
      <c r="E12" s="462"/>
      <c r="F12" s="462"/>
      <c r="G12" s="462"/>
      <c r="H12" s="462"/>
      <c r="I12" s="462"/>
      <c r="J12" s="462"/>
      <c r="K12" s="462"/>
      <c r="L12" s="462"/>
      <c r="M12" s="462"/>
      <c r="N12" s="462"/>
      <c r="O12" s="462"/>
      <c r="P12" s="462"/>
      <c r="Q12" s="462"/>
      <c r="R12" s="462"/>
      <c r="S12" s="462"/>
      <c r="T12" s="462"/>
      <c r="U12" s="462"/>
      <c r="V12" s="462"/>
      <c r="W12" s="462"/>
      <c r="X12" s="462"/>
      <c r="Y12" s="462"/>
      <c r="Z12" s="462"/>
      <c r="AA12" s="462"/>
      <c r="AB12" s="462"/>
      <c r="AC12" s="462"/>
      <c r="AD12" s="462"/>
      <c r="AE12" s="462"/>
      <c r="AF12" s="462"/>
      <c r="AG12" s="462"/>
      <c r="AH12" s="462"/>
      <c r="AI12" s="462"/>
      <c r="AJ12" s="143"/>
    </row>
    <row r="13" spans="1:36">
      <c r="A13" s="517" t="s">
        <v>67</v>
      </c>
      <c r="B13" s="517"/>
      <c r="C13" s="517"/>
      <c r="D13" s="517"/>
      <c r="E13" s="517"/>
      <c r="F13" s="517"/>
      <c r="G13" s="517"/>
      <c r="H13" s="517"/>
      <c r="I13" s="517"/>
      <c r="J13" s="517"/>
      <c r="K13" s="517"/>
      <c r="L13" s="517"/>
      <c r="M13" s="517"/>
      <c r="N13" s="517"/>
      <c r="O13" s="517"/>
      <c r="P13" s="517"/>
      <c r="Q13" s="517"/>
      <c r="R13" s="517"/>
      <c r="S13" s="517"/>
      <c r="T13" s="517"/>
      <c r="U13" s="517"/>
      <c r="V13" s="517"/>
      <c r="W13" s="517"/>
      <c r="X13" s="517"/>
      <c r="Y13" s="517"/>
      <c r="Z13" s="517"/>
      <c r="AA13" s="517"/>
      <c r="AB13" s="517"/>
      <c r="AC13" s="517"/>
      <c r="AD13" s="517"/>
      <c r="AE13" s="517"/>
      <c r="AF13" s="517"/>
      <c r="AG13" s="517"/>
      <c r="AH13" s="517"/>
      <c r="AI13" s="517"/>
      <c r="AJ13" s="143"/>
    </row>
    <row r="14" spans="1:36" ht="9.75" customHeight="1">
      <c r="A14" s="191"/>
      <c r="B14" s="191"/>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43"/>
    </row>
    <row r="15" spans="1:36" ht="15" thickBot="1">
      <c r="A15" s="166" t="s">
        <v>32</v>
      </c>
      <c r="B15" s="166"/>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43"/>
    </row>
    <row r="16" spans="1:36" ht="24" customHeight="1" thickBot="1">
      <c r="A16" s="510" t="s">
        <v>338</v>
      </c>
      <c r="B16" s="511"/>
      <c r="C16" s="511"/>
      <c r="D16" s="642"/>
      <c r="E16" s="643"/>
      <c r="F16" s="643"/>
      <c r="G16" s="643"/>
      <c r="H16" s="643"/>
      <c r="I16" s="643"/>
      <c r="J16" s="643"/>
      <c r="K16" s="643"/>
      <c r="L16" s="643"/>
      <c r="M16" s="643"/>
      <c r="N16" s="643"/>
      <c r="O16" s="643"/>
      <c r="P16" s="643"/>
      <c r="Q16" s="643"/>
      <c r="R16" s="643"/>
      <c r="S16" s="643"/>
      <c r="T16" s="643"/>
      <c r="U16" s="643"/>
      <c r="V16" s="643"/>
      <c r="W16" s="643"/>
      <c r="X16" s="643"/>
      <c r="Y16" s="643"/>
      <c r="Z16" s="643"/>
      <c r="AA16" s="643"/>
      <c r="AB16" s="643"/>
      <c r="AC16" s="643"/>
      <c r="AD16" s="643"/>
      <c r="AE16" s="643"/>
      <c r="AF16" s="643"/>
      <c r="AG16" s="643"/>
      <c r="AH16" s="643"/>
      <c r="AI16" s="644"/>
      <c r="AJ16" s="143"/>
    </row>
    <row r="17" spans="1:39" ht="12.75" thickBot="1">
      <c r="A17" s="516" t="s">
        <v>7</v>
      </c>
      <c r="B17" s="517"/>
      <c r="C17" s="517"/>
      <c r="D17" s="517"/>
      <c r="E17" s="180"/>
      <c r="F17" s="181" t="s">
        <v>15</v>
      </c>
      <c r="G17" s="735" t="s">
        <v>24</v>
      </c>
      <c r="H17" s="735"/>
      <c r="I17" s="735"/>
      <c r="J17" s="735"/>
      <c r="K17" s="735"/>
      <c r="L17" s="735"/>
      <c r="M17" s="735"/>
      <c r="N17" s="735"/>
      <c r="O17" s="735"/>
      <c r="P17" s="735"/>
      <c r="Q17" s="735"/>
      <c r="R17" s="735"/>
      <c r="S17" s="735"/>
      <c r="T17" s="182"/>
      <c r="U17" s="181" t="s">
        <v>19</v>
      </c>
      <c r="V17" s="735" t="s">
        <v>261</v>
      </c>
      <c r="W17" s="735"/>
      <c r="X17" s="735"/>
      <c r="Y17" s="735"/>
      <c r="Z17" s="735"/>
      <c r="AA17" s="735"/>
      <c r="AB17" s="735"/>
      <c r="AC17" s="735"/>
      <c r="AD17" s="735"/>
      <c r="AE17" s="735"/>
      <c r="AF17" s="735"/>
      <c r="AG17" s="735"/>
      <c r="AH17" s="735"/>
      <c r="AI17" s="736"/>
      <c r="AJ17" s="143"/>
      <c r="AM17" s="200">
        <v>0</v>
      </c>
    </row>
    <row r="18" spans="1:39">
      <c r="A18" s="516"/>
      <c r="B18" s="517"/>
      <c r="C18" s="517"/>
      <c r="D18" s="517"/>
      <c r="E18" s="183"/>
      <c r="F18" s="445" t="s">
        <v>16</v>
      </c>
      <c r="G18" s="585" t="s">
        <v>262</v>
      </c>
      <c r="H18" s="585"/>
      <c r="I18" s="585"/>
      <c r="J18" s="585"/>
      <c r="K18" s="585"/>
      <c r="L18" s="585"/>
      <c r="M18" s="585"/>
      <c r="N18" s="585"/>
      <c r="O18" s="585"/>
      <c r="P18" s="585"/>
      <c r="Q18" s="585"/>
      <c r="R18" s="585"/>
      <c r="S18" s="585"/>
      <c r="T18" s="446"/>
      <c r="U18" s="445" t="s">
        <v>20</v>
      </c>
      <c r="V18" s="585" t="s">
        <v>27</v>
      </c>
      <c r="W18" s="585"/>
      <c r="X18" s="585"/>
      <c r="Y18" s="585"/>
      <c r="Z18" s="585"/>
      <c r="AA18" s="585"/>
      <c r="AB18" s="585"/>
      <c r="AC18" s="585"/>
      <c r="AD18" s="585"/>
      <c r="AE18" s="585"/>
      <c r="AF18" s="585"/>
      <c r="AG18" s="585"/>
      <c r="AH18" s="585"/>
      <c r="AI18" s="586"/>
      <c r="AJ18" s="143"/>
    </row>
    <row r="19" spans="1:39">
      <c r="A19" s="516"/>
      <c r="B19" s="517"/>
      <c r="C19" s="517"/>
      <c r="D19" s="517"/>
      <c r="E19" s="183"/>
      <c r="F19" s="445" t="s">
        <v>17</v>
      </c>
      <c r="G19" s="585" t="s">
        <v>18</v>
      </c>
      <c r="H19" s="585"/>
      <c r="I19" s="585"/>
      <c r="J19" s="585"/>
      <c r="K19" s="585"/>
      <c r="L19" s="585"/>
      <c r="M19" s="585"/>
      <c r="N19" s="585"/>
      <c r="O19" s="585"/>
      <c r="P19" s="585"/>
      <c r="Q19" s="585"/>
      <c r="R19" s="585"/>
      <c r="S19" s="585"/>
      <c r="T19" s="446"/>
      <c r="U19" s="445" t="s">
        <v>21</v>
      </c>
      <c r="V19" s="585" t="s">
        <v>26</v>
      </c>
      <c r="W19" s="585"/>
      <c r="X19" s="585"/>
      <c r="Y19" s="585"/>
      <c r="Z19" s="585"/>
      <c r="AA19" s="585"/>
      <c r="AB19" s="585"/>
      <c r="AC19" s="585"/>
      <c r="AD19" s="585"/>
      <c r="AE19" s="585"/>
      <c r="AF19" s="585"/>
      <c r="AG19" s="585"/>
      <c r="AH19" s="585"/>
      <c r="AI19" s="586"/>
      <c r="AJ19" s="143"/>
    </row>
    <row r="20" spans="1:39">
      <c r="A20" s="516"/>
      <c r="B20" s="517"/>
      <c r="C20" s="517"/>
      <c r="D20" s="517"/>
      <c r="E20" s="183"/>
      <c r="F20" s="445" t="s">
        <v>25</v>
      </c>
      <c r="G20" s="585" t="s">
        <v>22</v>
      </c>
      <c r="H20" s="585"/>
      <c r="I20" s="585"/>
      <c r="J20" s="585"/>
      <c r="K20" s="585"/>
      <c r="L20" s="585"/>
      <c r="M20" s="585"/>
      <c r="N20" s="585"/>
      <c r="O20" s="585"/>
      <c r="P20" s="585"/>
      <c r="Q20" s="585"/>
      <c r="R20" s="585"/>
      <c r="S20" s="585"/>
      <c r="T20" s="446"/>
      <c r="U20" s="445"/>
      <c r="V20" s="447"/>
      <c r="W20" s="447"/>
      <c r="X20" s="447"/>
      <c r="Y20" s="447"/>
      <c r="Z20" s="447"/>
      <c r="AA20" s="447"/>
      <c r="AB20" s="447"/>
      <c r="AC20" s="447"/>
      <c r="AD20" s="447"/>
      <c r="AE20" s="447"/>
      <c r="AF20" s="447"/>
      <c r="AG20" s="447"/>
      <c r="AH20" s="447"/>
      <c r="AI20" s="448"/>
      <c r="AJ20" s="143"/>
    </row>
    <row r="21" spans="1:39">
      <c r="A21" s="729"/>
      <c r="B21" s="730"/>
      <c r="C21" s="730"/>
      <c r="D21" s="730"/>
      <c r="E21" s="726" t="str">
        <f>IF(OR(AM17="",AM17=1),"",IF(AM17=5,"基本料金から維持管理費を減じた金額の半額が免除になります。",IF(OR(AM17=2,AM17=3,AM17=4,AM17=5,AM17=6),"免除申請書の提出により使用料の一部が免除になります。免除申請様式は申込後にお渡しいたします。","団体の組織図、定款、規約等、催事責任者氏名が載っているものを併せてご提出ください。")))</f>
        <v>団体の組織図、定款、規約等、催事責任者氏名が載っているものを併せてご提出ください。</v>
      </c>
      <c r="F21" s="727"/>
      <c r="G21" s="727"/>
      <c r="H21" s="727"/>
      <c r="I21" s="727"/>
      <c r="J21" s="727"/>
      <c r="K21" s="727"/>
      <c r="L21" s="727"/>
      <c r="M21" s="727"/>
      <c r="N21" s="727"/>
      <c r="O21" s="727"/>
      <c r="P21" s="727"/>
      <c r="Q21" s="727"/>
      <c r="R21" s="727"/>
      <c r="S21" s="727"/>
      <c r="T21" s="727"/>
      <c r="U21" s="727"/>
      <c r="V21" s="727"/>
      <c r="W21" s="727"/>
      <c r="X21" s="727"/>
      <c r="Y21" s="727"/>
      <c r="Z21" s="727"/>
      <c r="AA21" s="727"/>
      <c r="AB21" s="727"/>
      <c r="AC21" s="727"/>
      <c r="AD21" s="727"/>
      <c r="AE21" s="727"/>
      <c r="AF21" s="727"/>
      <c r="AG21" s="727"/>
      <c r="AH21" s="727"/>
      <c r="AI21" s="728"/>
      <c r="AJ21" s="143"/>
    </row>
    <row r="22" spans="1:39">
      <c r="A22" s="543" t="s">
        <v>173</v>
      </c>
      <c r="B22" s="544"/>
      <c r="C22" s="544"/>
      <c r="D22" s="545"/>
      <c r="E22" s="449" t="s">
        <v>10</v>
      </c>
      <c r="F22" s="732"/>
      <c r="G22" s="733"/>
      <c r="H22" s="733"/>
      <c r="I22" s="733"/>
      <c r="J22" s="733"/>
      <c r="K22" s="733"/>
      <c r="L22" s="733"/>
      <c r="M22" s="733"/>
      <c r="N22" s="733"/>
      <c r="O22" s="733"/>
      <c r="P22" s="733"/>
      <c r="Q22" s="733"/>
      <c r="R22" s="733"/>
      <c r="S22" s="733"/>
      <c r="T22" s="733"/>
      <c r="U22" s="733"/>
      <c r="V22" s="733"/>
      <c r="W22" s="733"/>
      <c r="X22" s="733"/>
      <c r="Y22" s="733"/>
      <c r="Z22" s="733"/>
      <c r="AA22" s="733"/>
      <c r="AB22" s="733"/>
      <c r="AC22" s="733"/>
      <c r="AD22" s="733"/>
      <c r="AE22" s="733"/>
      <c r="AF22" s="733"/>
      <c r="AG22" s="733"/>
      <c r="AH22" s="733"/>
      <c r="AI22" s="734"/>
      <c r="AJ22" s="143"/>
    </row>
    <row r="23" spans="1:39" ht="19.5" customHeight="1">
      <c r="A23" s="729"/>
      <c r="B23" s="730"/>
      <c r="C23" s="730"/>
      <c r="D23" s="731"/>
      <c r="E23" s="583"/>
      <c r="F23" s="583"/>
      <c r="G23" s="583"/>
      <c r="H23" s="583"/>
      <c r="I23" s="583"/>
      <c r="J23" s="583"/>
      <c r="K23" s="583"/>
      <c r="L23" s="583"/>
      <c r="M23" s="583"/>
      <c r="N23" s="583"/>
      <c r="O23" s="583"/>
      <c r="P23" s="583"/>
      <c r="Q23" s="583"/>
      <c r="R23" s="583"/>
      <c r="S23" s="583"/>
      <c r="T23" s="583"/>
      <c r="U23" s="583"/>
      <c r="V23" s="583"/>
      <c r="W23" s="583"/>
      <c r="X23" s="583"/>
      <c r="Y23" s="583"/>
      <c r="Z23" s="583"/>
      <c r="AA23" s="583"/>
      <c r="AB23" s="583"/>
      <c r="AC23" s="583"/>
      <c r="AD23" s="583"/>
      <c r="AE23" s="583"/>
      <c r="AF23" s="583"/>
      <c r="AG23" s="583"/>
      <c r="AH23" s="583"/>
      <c r="AI23" s="584"/>
      <c r="AJ23" s="143"/>
    </row>
    <row r="24" spans="1:39">
      <c r="A24" s="685" t="s">
        <v>339</v>
      </c>
      <c r="B24" s="564"/>
      <c r="C24" s="564"/>
      <c r="D24" s="565"/>
      <c r="E24" s="689" t="s">
        <v>9</v>
      </c>
      <c r="F24" s="690"/>
      <c r="G24" s="691"/>
      <c r="H24" s="692" t="str">
        <f>IF(AM17=1,"※理事、副学長、部局長等の氏名",IF(AM17=2,"※顧問等の氏名",IF(AM17=3,"※萩友会は代表理事、登録団体は団体長の氏名",IF(AM17=5,"※学校長、理事長等",IF(AM17=6,"※実行委員長、支部長、学会長等の氏名","")))))</f>
        <v/>
      </c>
      <c r="I24" s="693"/>
      <c r="J24" s="693"/>
      <c r="K24" s="693"/>
      <c r="L24" s="693"/>
      <c r="M24" s="693"/>
      <c r="N24" s="693"/>
      <c r="O24" s="693"/>
      <c r="P24" s="693"/>
      <c r="Q24" s="693"/>
      <c r="R24" s="693"/>
      <c r="S24" s="694"/>
      <c r="T24" s="689" t="s">
        <v>23</v>
      </c>
      <c r="U24" s="690"/>
      <c r="V24" s="691"/>
      <c r="W24" s="695" t="str">
        <f>IF(AM17=1,"※理事、副学長、部局長等",IF(AM17=2,"※学友会部長、顧問等",IF(AM17=3,"※萩友会は代表理事、登録団体は団体長等",IF(AM17=4,"※本学での所属・職名（または学年・学籍番号）",IF(AM17=5,"※学校長、理事長等",IF(AM17=6,"※主催団体での職名・萩友会会員番号",IF(AM17=7,"※主催団体での職名","")))))))</f>
        <v/>
      </c>
      <c r="X24" s="696"/>
      <c r="Y24" s="696"/>
      <c r="Z24" s="696"/>
      <c r="AA24" s="696"/>
      <c r="AB24" s="696"/>
      <c r="AC24" s="696"/>
      <c r="AD24" s="696"/>
      <c r="AE24" s="696"/>
      <c r="AF24" s="696"/>
      <c r="AG24" s="696"/>
      <c r="AH24" s="696"/>
      <c r="AI24" s="697"/>
      <c r="AJ24" s="143"/>
    </row>
    <row r="25" spans="1:39" ht="30.75" customHeight="1">
      <c r="A25" s="686"/>
      <c r="B25" s="687"/>
      <c r="C25" s="687"/>
      <c r="D25" s="688"/>
      <c r="E25" s="587"/>
      <c r="F25" s="588"/>
      <c r="G25" s="589"/>
      <c r="H25" s="698"/>
      <c r="I25" s="699"/>
      <c r="J25" s="699"/>
      <c r="K25" s="699"/>
      <c r="L25" s="699"/>
      <c r="M25" s="699"/>
      <c r="N25" s="699"/>
      <c r="O25" s="699"/>
      <c r="P25" s="699"/>
      <c r="Q25" s="699"/>
      <c r="R25" s="699"/>
      <c r="S25" s="700"/>
      <c r="T25" s="587"/>
      <c r="U25" s="588"/>
      <c r="V25" s="589"/>
      <c r="W25" s="701"/>
      <c r="X25" s="701"/>
      <c r="Y25" s="701"/>
      <c r="Z25" s="701"/>
      <c r="AA25" s="701"/>
      <c r="AB25" s="701"/>
      <c r="AC25" s="701"/>
      <c r="AD25" s="701"/>
      <c r="AE25" s="701"/>
      <c r="AF25" s="701"/>
      <c r="AG25" s="701"/>
      <c r="AH25" s="701"/>
      <c r="AI25" s="702"/>
      <c r="AJ25" s="143"/>
    </row>
    <row r="26" spans="1:39" ht="11.25" customHeight="1">
      <c r="A26" s="605" t="s">
        <v>178</v>
      </c>
      <c r="B26" s="606"/>
      <c r="C26" s="606"/>
      <c r="D26" s="606"/>
      <c r="E26" s="713" t="s">
        <v>30</v>
      </c>
      <c r="F26" s="714"/>
      <c r="G26" s="715"/>
      <c r="H26" s="703"/>
      <c r="I26" s="703"/>
      <c r="J26" s="703"/>
      <c r="K26" s="703"/>
      <c r="L26" s="703"/>
      <c r="M26" s="703"/>
      <c r="N26" s="703"/>
      <c r="O26" s="703"/>
      <c r="P26" s="703"/>
      <c r="Q26" s="703"/>
      <c r="R26" s="703"/>
      <c r="S26" s="703"/>
      <c r="T26" s="704" t="s">
        <v>23</v>
      </c>
      <c r="U26" s="704"/>
      <c r="V26" s="704"/>
      <c r="W26" s="737" t="str">
        <f>IF(AM17=1,"※職名",IF(AM17=2,"※団体での職名・学年・学籍番号",IF(AM17=3,"※主催団体での職名等",IF(AM17=4,"※本学での所属・職名（または学年・学籍番号）",IF(AM17=5,"※職名",IF(AM17=6,"※主催団体での職名",IF(AM17=7,"※主催団体での職名","")))))))</f>
        <v/>
      </c>
      <c r="X26" s="738"/>
      <c r="Y26" s="738"/>
      <c r="Z26" s="738"/>
      <c r="AA26" s="738"/>
      <c r="AB26" s="738"/>
      <c r="AC26" s="738"/>
      <c r="AD26" s="738"/>
      <c r="AE26" s="738"/>
      <c r="AF26" s="738"/>
      <c r="AG26" s="738"/>
      <c r="AH26" s="738"/>
      <c r="AI26" s="739"/>
      <c r="AJ26" s="143"/>
    </row>
    <row r="27" spans="1:39" ht="24" customHeight="1">
      <c r="A27" s="722"/>
      <c r="B27" s="723"/>
      <c r="C27" s="723"/>
      <c r="D27" s="723"/>
      <c r="E27" s="587" t="s">
        <v>9</v>
      </c>
      <c r="F27" s="588"/>
      <c r="G27" s="589"/>
      <c r="H27" s="699"/>
      <c r="I27" s="699"/>
      <c r="J27" s="699"/>
      <c r="K27" s="699"/>
      <c r="L27" s="699"/>
      <c r="M27" s="699"/>
      <c r="N27" s="699"/>
      <c r="O27" s="699"/>
      <c r="P27" s="699"/>
      <c r="Q27" s="699"/>
      <c r="R27" s="699"/>
      <c r="S27" s="699"/>
      <c r="T27" s="705"/>
      <c r="U27" s="705"/>
      <c r="V27" s="705"/>
      <c r="W27" s="700"/>
      <c r="X27" s="583"/>
      <c r="Y27" s="583"/>
      <c r="Z27" s="583"/>
      <c r="AA27" s="583"/>
      <c r="AB27" s="583"/>
      <c r="AC27" s="583"/>
      <c r="AD27" s="583"/>
      <c r="AE27" s="583"/>
      <c r="AF27" s="583"/>
      <c r="AG27" s="583"/>
      <c r="AH27" s="583"/>
      <c r="AI27" s="584"/>
      <c r="AJ27" s="143"/>
    </row>
    <row r="28" spans="1:39" ht="19.5" customHeight="1">
      <c r="A28" s="607"/>
      <c r="B28" s="608"/>
      <c r="C28" s="608"/>
      <c r="D28" s="608"/>
      <c r="E28" s="706" t="s">
        <v>28</v>
      </c>
      <c r="F28" s="706"/>
      <c r="G28" s="706"/>
      <c r="H28" s="745"/>
      <c r="I28" s="745"/>
      <c r="J28" s="745"/>
      <c r="K28" s="745"/>
      <c r="L28" s="745"/>
      <c r="M28" s="745"/>
      <c r="N28" s="745"/>
      <c r="O28" s="745"/>
      <c r="P28" s="745"/>
      <c r="Q28" s="745"/>
      <c r="R28" s="745"/>
      <c r="S28" s="745"/>
      <c r="T28" s="707" t="s">
        <v>29</v>
      </c>
      <c r="U28" s="707"/>
      <c r="V28" s="707"/>
      <c r="W28" s="711"/>
      <c r="X28" s="711"/>
      <c r="Y28" s="711"/>
      <c r="Z28" s="711"/>
      <c r="AA28" s="711"/>
      <c r="AB28" s="711"/>
      <c r="AC28" s="711"/>
      <c r="AD28" s="711"/>
      <c r="AE28" s="711"/>
      <c r="AF28" s="711"/>
      <c r="AG28" s="711"/>
      <c r="AH28" s="711"/>
      <c r="AI28" s="712"/>
      <c r="AJ28" s="143"/>
    </row>
    <row r="29" spans="1:39">
      <c r="A29" s="590" t="s">
        <v>31</v>
      </c>
      <c r="B29" s="591"/>
      <c r="C29" s="591"/>
      <c r="D29" s="591"/>
      <c r="E29" s="536" t="str">
        <f>IF(AM17&gt;0,"（支払方法選択）","")</f>
        <v/>
      </c>
      <c r="F29" s="474"/>
      <c r="G29" s="474"/>
      <c r="H29" s="474"/>
      <c r="I29" s="474"/>
      <c r="J29" s="474"/>
      <c r="K29" s="474"/>
      <c r="L29" s="474"/>
      <c r="M29" s="474"/>
      <c r="N29" s="474"/>
      <c r="O29" s="474"/>
      <c r="P29" s="474"/>
      <c r="Q29" s="474"/>
      <c r="R29" s="474"/>
      <c r="S29" s="537"/>
      <c r="T29" s="597" t="str">
        <f>IF(E29="学内振替","右欄記入","")</f>
        <v/>
      </c>
      <c r="U29" s="598"/>
      <c r="V29" s="599"/>
      <c r="W29" s="603"/>
      <c r="X29" s="603"/>
      <c r="Y29" s="603"/>
      <c r="Z29" s="603"/>
      <c r="AA29" s="603"/>
      <c r="AB29" s="603"/>
      <c r="AC29" s="603"/>
      <c r="AD29" s="603"/>
      <c r="AE29" s="603"/>
      <c r="AF29" s="603"/>
      <c r="AG29" s="603"/>
      <c r="AH29" s="603"/>
      <c r="AI29" s="604"/>
      <c r="AJ29" s="143"/>
    </row>
    <row r="30" spans="1:39" ht="12.75" thickBot="1">
      <c r="A30" s="592"/>
      <c r="B30" s="593"/>
      <c r="C30" s="593"/>
      <c r="D30" s="593"/>
      <c r="E30" s="594"/>
      <c r="F30" s="595"/>
      <c r="G30" s="595"/>
      <c r="H30" s="595"/>
      <c r="I30" s="595"/>
      <c r="J30" s="595"/>
      <c r="K30" s="595"/>
      <c r="L30" s="595"/>
      <c r="M30" s="595"/>
      <c r="N30" s="595"/>
      <c r="O30" s="595"/>
      <c r="P30" s="595"/>
      <c r="Q30" s="595"/>
      <c r="R30" s="595"/>
      <c r="S30" s="596"/>
      <c r="T30" s="600"/>
      <c r="U30" s="601"/>
      <c r="V30" s="602"/>
      <c r="W30" s="708" t="str">
        <f>IF(OR(W29="部局振替",W29="科研費"),"振替先名称","")</f>
        <v/>
      </c>
      <c r="X30" s="708"/>
      <c r="Y30" s="708"/>
      <c r="Z30" s="708"/>
      <c r="AA30" s="709"/>
      <c r="AB30" s="709"/>
      <c r="AC30" s="709"/>
      <c r="AD30" s="709"/>
      <c r="AE30" s="709"/>
      <c r="AF30" s="709"/>
      <c r="AG30" s="709"/>
      <c r="AH30" s="709"/>
      <c r="AI30" s="710"/>
      <c r="AJ30" s="143"/>
    </row>
    <row r="31" spans="1:39" ht="7.5" customHeight="1">
      <c r="A31" s="195"/>
      <c r="B31" s="195"/>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43"/>
    </row>
    <row r="32" spans="1:39" ht="15" thickBot="1">
      <c r="A32" s="165" t="s">
        <v>33</v>
      </c>
      <c r="B32" s="165"/>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43"/>
    </row>
    <row r="33" spans="1:39" ht="24" customHeight="1" thickBot="1">
      <c r="A33" s="510" t="s">
        <v>34</v>
      </c>
      <c r="B33" s="511"/>
      <c r="C33" s="634"/>
      <c r="D33" s="635"/>
      <c r="E33" s="636"/>
      <c r="F33" s="636"/>
      <c r="G33" s="636"/>
      <c r="H33" s="636"/>
      <c r="I33" s="636"/>
      <c r="J33" s="636"/>
      <c r="K33" s="636"/>
      <c r="L33" s="636"/>
      <c r="M33" s="636"/>
      <c r="N33" s="636"/>
      <c r="O33" s="636"/>
      <c r="P33" s="636"/>
      <c r="Q33" s="636"/>
      <c r="R33" s="636"/>
      <c r="S33" s="636"/>
      <c r="T33" s="636"/>
      <c r="U33" s="636"/>
      <c r="V33" s="636"/>
      <c r="W33" s="636"/>
      <c r="X33" s="636"/>
      <c r="Y33" s="636"/>
      <c r="Z33" s="636"/>
      <c r="AA33" s="636"/>
      <c r="AB33" s="636"/>
      <c r="AC33" s="636"/>
      <c r="AD33" s="636"/>
      <c r="AE33" s="636"/>
      <c r="AF33" s="636"/>
      <c r="AG33" s="636"/>
      <c r="AH33" s="636"/>
      <c r="AI33" s="637"/>
      <c r="AJ33" s="143"/>
    </row>
    <row r="34" spans="1:39" ht="20.25" customHeight="1" thickBot="1">
      <c r="A34" s="740" t="s">
        <v>44</v>
      </c>
      <c r="B34" s="741"/>
      <c r="C34" s="591" t="s">
        <v>42</v>
      </c>
      <c r="D34" s="591"/>
      <c r="E34" s="145"/>
      <c r="F34" s="146"/>
      <c r="G34" s="749" t="s">
        <v>35</v>
      </c>
      <c r="H34" s="749"/>
      <c r="I34" s="749"/>
      <c r="J34" s="749"/>
      <c r="K34" s="749"/>
      <c r="L34" s="749"/>
      <c r="M34" s="147"/>
      <c r="N34" s="638" t="s">
        <v>36</v>
      </c>
      <c r="O34" s="638"/>
      <c r="P34" s="638"/>
      <c r="Q34" s="638"/>
      <c r="R34" s="638"/>
      <c r="S34" s="638"/>
      <c r="T34" s="147"/>
      <c r="U34" s="638" t="s">
        <v>38</v>
      </c>
      <c r="V34" s="638"/>
      <c r="W34" s="638"/>
      <c r="X34" s="638"/>
      <c r="Y34" s="638"/>
      <c r="Z34" s="638"/>
      <c r="AA34" s="147"/>
      <c r="AB34" s="638" t="s">
        <v>37</v>
      </c>
      <c r="AC34" s="638"/>
      <c r="AD34" s="638"/>
      <c r="AE34" s="638"/>
      <c r="AF34" s="638"/>
      <c r="AG34" s="638"/>
      <c r="AH34" s="638"/>
      <c r="AI34" s="639"/>
      <c r="AJ34" s="143"/>
      <c r="AM34" s="200">
        <v>0</v>
      </c>
    </row>
    <row r="35" spans="1:39" ht="20.25" customHeight="1">
      <c r="A35" s="740"/>
      <c r="B35" s="741"/>
      <c r="C35" s="591"/>
      <c r="D35" s="591"/>
      <c r="E35" s="148"/>
      <c r="F35" s="149"/>
      <c r="G35" s="470" t="s">
        <v>39</v>
      </c>
      <c r="H35" s="470"/>
      <c r="I35" s="470"/>
      <c r="J35" s="470"/>
      <c r="K35" s="470"/>
      <c r="L35" s="470"/>
      <c r="M35" s="150"/>
      <c r="N35" s="470" t="s">
        <v>40</v>
      </c>
      <c r="O35" s="470"/>
      <c r="P35" s="470"/>
      <c r="Q35" s="470"/>
      <c r="R35" s="470"/>
      <c r="S35" s="470"/>
      <c r="T35" s="148"/>
      <c r="U35" s="641" t="s">
        <v>253</v>
      </c>
      <c r="V35" s="641"/>
      <c r="W35" s="641"/>
      <c r="X35" s="641"/>
      <c r="Y35" s="641"/>
      <c r="Z35" s="641"/>
      <c r="AA35" s="149"/>
      <c r="AB35" s="470" t="s">
        <v>41</v>
      </c>
      <c r="AC35" s="470"/>
      <c r="AD35" s="470"/>
      <c r="AE35" s="470"/>
      <c r="AF35" s="470"/>
      <c r="AG35" s="470"/>
      <c r="AH35" s="470"/>
      <c r="AI35" s="640"/>
      <c r="AJ35" s="143"/>
    </row>
    <row r="36" spans="1:39">
      <c r="A36" s="740"/>
      <c r="B36" s="741"/>
      <c r="C36" s="574" t="s">
        <v>43</v>
      </c>
      <c r="D36" s="574"/>
      <c r="E36" s="742" t="s">
        <v>45</v>
      </c>
      <c r="F36" s="743"/>
      <c r="G36" s="743"/>
      <c r="H36" s="743"/>
      <c r="I36" s="743"/>
      <c r="J36" s="743"/>
      <c r="K36" s="743"/>
      <c r="L36" s="743"/>
      <c r="M36" s="743"/>
      <c r="N36" s="743"/>
      <c r="O36" s="743"/>
      <c r="P36" s="743"/>
      <c r="Q36" s="743"/>
      <c r="R36" s="743"/>
      <c r="S36" s="743"/>
      <c r="T36" s="743"/>
      <c r="U36" s="743"/>
      <c r="V36" s="743"/>
      <c r="W36" s="743"/>
      <c r="X36" s="743"/>
      <c r="Y36" s="743"/>
      <c r="Z36" s="743"/>
      <c r="AA36" s="743"/>
      <c r="AB36" s="743"/>
      <c r="AC36" s="743"/>
      <c r="AD36" s="743"/>
      <c r="AE36" s="743"/>
      <c r="AF36" s="743"/>
      <c r="AG36" s="743"/>
      <c r="AH36" s="743"/>
      <c r="AI36" s="744"/>
      <c r="AJ36" s="143"/>
    </row>
    <row r="37" spans="1:39">
      <c r="A37" s="740"/>
      <c r="B37" s="741"/>
      <c r="C37" s="591"/>
      <c r="D37" s="591"/>
      <c r="E37" s="716"/>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8"/>
      <c r="AJ37" s="143"/>
    </row>
    <row r="38" spans="1:39">
      <c r="A38" s="740"/>
      <c r="B38" s="741"/>
      <c r="C38" s="591"/>
      <c r="D38" s="591"/>
      <c r="E38" s="716"/>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8"/>
      <c r="AJ38" s="143"/>
    </row>
    <row r="39" spans="1:39">
      <c r="A39" s="740"/>
      <c r="B39" s="741"/>
      <c r="C39" s="591"/>
      <c r="D39" s="591"/>
      <c r="E39" s="716"/>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8"/>
      <c r="AJ39" s="143"/>
    </row>
    <row r="40" spans="1:39">
      <c r="A40" s="740"/>
      <c r="B40" s="741"/>
      <c r="C40" s="591"/>
      <c r="D40" s="591"/>
      <c r="E40" s="716"/>
      <c r="F40" s="717"/>
      <c r="G40" s="717"/>
      <c r="H40" s="717"/>
      <c r="I40" s="717"/>
      <c r="J40" s="717"/>
      <c r="K40" s="717"/>
      <c r="L40" s="717"/>
      <c r="M40" s="717"/>
      <c r="N40" s="717"/>
      <c r="O40" s="717"/>
      <c r="P40" s="717"/>
      <c r="Q40" s="717"/>
      <c r="R40" s="717"/>
      <c r="S40" s="717"/>
      <c r="T40" s="717"/>
      <c r="U40" s="717"/>
      <c r="V40" s="717"/>
      <c r="W40" s="717"/>
      <c r="X40" s="717"/>
      <c r="Y40" s="717"/>
      <c r="Z40" s="717"/>
      <c r="AA40" s="717"/>
      <c r="AB40" s="717"/>
      <c r="AC40" s="717"/>
      <c r="AD40" s="717"/>
      <c r="AE40" s="717"/>
      <c r="AF40" s="717"/>
      <c r="AG40" s="717"/>
      <c r="AH40" s="717"/>
      <c r="AI40" s="718"/>
      <c r="AJ40" s="143"/>
    </row>
    <row r="41" spans="1:39">
      <c r="A41" s="740"/>
      <c r="B41" s="741"/>
      <c r="C41" s="591"/>
      <c r="D41" s="591"/>
      <c r="E41" s="719"/>
      <c r="F41" s="720"/>
      <c r="G41" s="720"/>
      <c r="H41" s="720"/>
      <c r="I41" s="720"/>
      <c r="J41" s="720"/>
      <c r="K41" s="720"/>
      <c r="L41" s="720"/>
      <c r="M41" s="720"/>
      <c r="N41" s="720"/>
      <c r="O41" s="720"/>
      <c r="P41" s="720"/>
      <c r="Q41" s="720"/>
      <c r="R41" s="720"/>
      <c r="S41" s="720"/>
      <c r="T41" s="720"/>
      <c r="U41" s="720"/>
      <c r="V41" s="720"/>
      <c r="W41" s="720"/>
      <c r="X41" s="720"/>
      <c r="Y41" s="720"/>
      <c r="Z41" s="720"/>
      <c r="AA41" s="720"/>
      <c r="AB41" s="720"/>
      <c r="AC41" s="720"/>
      <c r="AD41" s="720"/>
      <c r="AE41" s="720"/>
      <c r="AF41" s="720"/>
      <c r="AG41" s="720"/>
      <c r="AH41" s="720"/>
      <c r="AI41" s="721"/>
      <c r="AJ41" s="143"/>
    </row>
    <row r="42" spans="1:39">
      <c r="A42" s="605" t="s">
        <v>46</v>
      </c>
      <c r="B42" s="606"/>
      <c r="C42" s="606"/>
      <c r="D42" s="606"/>
      <c r="E42" s="575"/>
      <c r="F42" s="575"/>
      <c r="G42" s="575"/>
      <c r="H42" s="575"/>
      <c r="I42" s="575"/>
      <c r="J42" s="575"/>
      <c r="K42" s="575"/>
      <c r="L42" s="575"/>
      <c r="M42" s="609"/>
      <c r="N42" s="564" t="str">
        <f>IF(E42="有料","金額","")</f>
        <v/>
      </c>
      <c r="O42" s="564"/>
      <c r="P42" s="564"/>
      <c r="Q42" s="564"/>
      <c r="R42" s="564"/>
      <c r="S42" s="613"/>
      <c r="T42" s="614"/>
      <c r="U42" s="614"/>
      <c r="V42" s="614"/>
      <c r="W42" s="614"/>
      <c r="X42" s="614"/>
      <c r="Y42" s="614"/>
      <c r="Z42" s="614"/>
      <c r="AA42" s="615" t="str">
        <f>IF(E42="有料","円","")</f>
        <v/>
      </c>
      <c r="AB42" s="615"/>
      <c r="AC42" s="615"/>
      <c r="AD42" s="615"/>
      <c r="AE42" s="615"/>
      <c r="AF42" s="615"/>
      <c r="AG42" s="615"/>
      <c r="AH42" s="615"/>
      <c r="AI42" s="616"/>
      <c r="AJ42" s="143"/>
    </row>
    <row r="43" spans="1:39">
      <c r="A43" s="607"/>
      <c r="B43" s="608"/>
      <c r="C43" s="608"/>
      <c r="D43" s="608"/>
      <c r="E43" s="577"/>
      <c r="F43" s="577"/>
      <c r="G43" s="577"/>
      <c r="H43" s="577"/>
      <c r="I43" s="577"/>
      <c r="J43" s="577"/>
      <c r="K43" s="577"/>
      <c r="L43" s="577"/>
      <c r="M43" s="610"/>
      <c r="N43" s="611" t="str">
        <f>IF(E42="有料","入場料の額に段階がある場合には、最高の額をご記入ください。","")</f>
        <v/>
      </c>
      <c r="O43" s="611"/>
      <c r="P43" s="611"/>
      <c r="Q43" s="611"/>
      <c r="R43" s="611"/>
      <c r="S43" s="611"/>
      <c r="T43" s="611"/>
      <c r="U43" s="611"/>
      <c r="V43" s="611"/>
      <c r="W43" s="611"/>
      <c r="X43" s="611"/>
      <c r="Y43" s="611"/>
      <c r="Z43" s="611"/>
      <c r="AA43" s="611"/>
      <c r="AB43" s="611"/>
      <c r="AC43" s="611"/>
      <c r="AD43" s="611"/>
      <c r="AE43" s="611"/>
      <c r="AF43" s="611"/>
      <c r="AG43" s="611"/>
      <c r="AH43" s="611"/>
      <c r="AI43" s="612"/>
      <c r="AJ43" s="143"/>
    </row>
    <row r="44" spans="1:39">
      <c r="A44" s="590" t="s">
        <v>179</v>
      </c>
      <c r="B44" s="591"/>
      <c r="C44" s="591"/>
      <c r="D44" s="591"/>
      <c r="E44" s="788" t="s">
        <v>183</v>
      </c>
      <c r="F44" s="788"/>
      <c r="G44" s="788"/>
      <c r="H44" s="788"/>
      <c r="I44" s="788"/>
      <c r="J44" s="788"/>
      <c r="K44" s="788"/>
      <c r="L44" s="788"/>
      <c r="M44" s="788"/>
      <c r="N44" s="788"/>
      <c r="O44" s="788"/>
      <c r="P44" s="788"/>
      <c r="Q44" s="788"/>
      <c r="R44" s="788"/>
      <c r="S44" s="788"/>
      <c r="T44" s="788"/>
      <c r="U44" s="788"/>
      <c r="V44" s="788"/>
      <c r="W44" s="788"/>
      <c r="X44" s="788"/>
      <c r="Y44" s="788"/>
      <c r="Z44" s="788"/>
      <c r="AA44" s="788"/>
      <c r="AB44" s="788"/>
      <c r="AC44" s="788"/>
      <c r="AD44" s="788"/>
      <c r="AE44" s="788"/>
      <c r="AF44" s="788"/>
      <c r="AG44" s="788"/>
      <c r="AH44" s="788"/>
      <c r="AI44" s="789"/>
      <c r="AJ44" s="143"/>
    </row>
    <row r="45" spans="1:39" ht="13.5" customHeight="1">
      <c r="A45" s="590"/>
      <c r="B45" s="591"/>
      <c r="C45" s="591"/>
      <c r="D45" s="591"/>
      <c r="E45" s="645" t="s">
        <v>164</v>
      </c>
      <c r="F45" s="646"/>
      <c r="G45" s="647"/>
      <c r="H45" s="617" t="s">
        <v>180</v>
      </c>
      <c r="I45" s="618"/>
      <c r="J45" s="619"/>
      <c r="K45" s="648"/>
      <c r="L45" s="649"/>
      <c r="M45" s="649"/>
      <c r="N45" s="649"/>
      <c r="O45" s="649"/>
      <c r="P45" s="650"/>
      <c r="Q45" s="617" t="s">
        <v>181</v>
      </c>
      <c r="R45" s="618"/>
      <c r="S45" s="619"/>
      <c r="T45" s="648"/>
      <c r="U45" s="649"/>
      <c r="V45" s="649"/>
      <c r="W45" s="649"/>
      <c r="X45" s="649"/>
      <c r="Y45" s="650"/>
      <c r="Z45" s="617" t="s">
        <v>182</v>
      </c>
      <c r="AA45" s="618"/>
      <c r="AB45" s="619"/>
      <c r="AC45" s="648"/>
      <c r="AD45" s="649"/>
      <c r="AE45" s="649"/>
      <c r="AF45" s="649"/>
      <c r="AG45" s="649"/>
      <c r="AH45" s="649"/>
      <c r="AI45" s="790"/>
      <c r="AJ45" s="143"/>
    </row>
    <row r="46" spans="1:39" ht="13.5" customHeight="1">
      <c r="A46" s="590"/>
      <c r="B46" s="591"/>
      <c r="C46" s="591"/>
      <c r="D46" s="591"/>
      <c r="E46" s="645" t="s">
        <v>165</v>
      </c>
      <c r="F46" s="646"/>
      <c r="G46" s="647"/>
      <c r="H46" s="620"/>
      <c r="I46" s="621"/>
      <c r="J46" s="622"/>
      <c r="K46" s="651"/>
      <c r="L46" s="652"/>
      <c r="M46" s="652"/>
      <c r="N46" s="652"/>
      <c r="O46" s="652"/>
      <c r="P46" s="653"/>
      <c r="Q46" s="620"/>
      <c r="R46" s="621"/>
      <c r="S46" s="622"/>
      <c r="T46" s="651"/>
      <c r="U46" s="652"/>
      <c r="V46" s="652"/>
      <c r="W46" s="652"/>
      <c r="X46" s="652"/>
      <c r="Y46" s="653"/>
      <c r="Z46" s="620"/>
      <c r="AA46" s="621"/>
      <c r="AB46" s="622"/>
      <c r="AC46" s="651"/>
      <c r="AD46" s="652"/>
      <c r="AE46" s="652"/>
      <c r="AF46" s="652"/>
      <c r="AG46" s="652"/>
      <c r="AH46" s="652"/>
      <c r="AI46" s="791"/>
      <c r="AJ46" s="143"/>
    </row>
    <row r="47" spans="1:39" ht="13.5" customHeight="1">
      <c r="A47" s="590"/>
      <c r="B47" s="591"/>
      <c r="C47" s="591"/>
      <c r="D47" s="591"/>
      <c r="E47" s="645" t="s">
        <v>166</v>
      </c>
      <c r="F47" s="646"/>
      <c r="G47" s="647"/>
      <c r="H47" s="620"/>
      <c r="I47" s="621"/>
      <c r="J47" s="622"/>
      <c r="K47" s="651"/>
      <c r="L47" s="652"/>
      <c r="M47" s="652"/>
      <c r="N47" s="652"/>
      <c r="O47" s="652"/>
      <c r="P47" s="653"/>
      <c r="Q47" s="620"/>
      <c r="R47" s="621"/>
      <c r="S47" s="622"/>
      <c r="T47" s="651"/>
      <c r="U47" s="652"/>
      <c r="V47" s="652"/>
      <c r="W47" s="652"/>
      <c r="X47" s="652"/>
      <c r="Y47" s="653"/>
      <c r="Z47" s="620"/>
      <c r="AA47" s="621"/>
      <c r="AB47" s="622"/>
      <c r="AC47" s="651"/>
      <c r="AD47" s="652"/>
      <c r="AE47" s="652"/>
      <c r="AF47" s="652"/>
      <c r="AG47" s="652"/>
      <c r="AH47" s="652"/>
      <c r="AI47" s="791"/>
      <c r="AJ47" s="143"/>
    </row>
    <row r="48" spans="1:39">
      <c r="A48" s="590"/>
      <c r="B48" s="591"/>
      <c r="C48" s="591"/>
      <c r="D48" s="591"/>
      <c r="E48" s="626" t="s">
        <v>167</v>
      </c>
      <c r="F48" s="627"/>
      <c r="G48" s="628"/>
      <c r="H48" s="623"/>
      <c r="I48" s="624"/>
      <c r="J48" s="625"/>
      <c r="K48" s="654"/>
      <c r="L48" s="560"/>
      <c r="M48" s="560"/>
      <c r="N48" s="560"/>
      <c r="O48" s="560"/>
      <c r="P48" s="655"/>
      <c r="Q48" s="623"/>
      <c r="R48" s="624"/>
      <c r="S48" s="625"/>
      <c r="T48" s="654"/>
      <c r="U48" s="560"/>
      <c r="V48" s="560"/>
      <c r="W48" s="560"/>
      <c r="X48" s="560"/>
      <c r="Y48" s="655"/>
      <c r="Z48" s="623"/>
      <c r="AA48" s="624"/>
      <c r="AB48" s="625"/>
      <c r="AC48" s="654"/>
      <c r="AD48" s="560"/>
      <c r="AE48" s="560"/>
      <c r="AF48" s="560"/>
      <c r="AG48" s="560"/>
      <c r="AH48" s="560"/>
      <c r="AI48" s="792"/>
      <c r="AJ48" s="143"/>
    </row>
    <row r="49" spans="1:36">
      <c r="A49" s="605" t="s">
        <v>47</v>
      </c>
      <c r="B49" s="606"/>
      <c r="C49" s="606"/>
      <c r="D49" s="606"/>
      <c r="E49" s="606" t="s">
        <v>49</v>
      </c>
      <c r="F49" s="606"/>
      <c r="G49" s="606"/>
      <c r="H49" s="606"/>
      <c r="I49" s="606"/>
      <c r="J49" s="575"/>
      <c r="K49" s="575"/>
      <c r="L49" s="575"/>
      <c r="M49" s="575"/>
      <c r="N49" s="575"/>
      <c r="O49" s="575"/>
      <c r="P49" s="575"/>
      <c r="Q49" s="575"/>
      <c r="R49" s="575"/>
      <c r="S49" s="575"/>
      <c r="T49" s="573" t="s">
        <v>48</v>
      </c>
      <c r="U49" s="573"/>
      <c r="V49" s="573"/>
      <c r="W49" s="573"/>
      <c r="X49" s="573"/>
      <c r="Y49" s="575"/>
      <c r="Z49" s="575"/>
      <c r="AA49" s="575"/>
      <c r="AB49" s="575"/>
      <c r="AC49" s="575"/>
      <c r="AD49" s="575"/>
      <c r="AE49" s="575"/>
      <c r="AF49" s="575"/>
      <c r="AG49" s="575"/>
      <c r="AH49" s="575"/>
      <c r="AI49" s="576"/>
      <c r="AJ49" s="143"/>
    </row>
    <row r="50" spans="1:36">
      <c r="A50" s="607"/>
      <c r="B50" s="608"/>
      <c r="C50" s="608"/>
      <c r="D50" s="608"/>
      <c r="E50" s="608"/>
      <c r="F50" s="608"/>
      <c r="G50" s="608"/>
      <c r="H50" s="608"/>
      <c r="I50" s="608"/>
      <c r="J50" s="577"/>
      <c r="K50" s="577"/>
      <c r="L50" s="577"/>
      <c r="M50" s="577"/>
      <c r="N50" s="577"/>
      <c r="O50" s="577"/>
      <c r="P50" s="577"/>
      <c r="Q50" s="577"/>
      <c r="R50" s="577"/>
      <c r="S50" s="577"/>
      <c r="T50" s="574"/>
      <c r="U50" s="574"/>
      <c r="V50" s="574"/>
      <c r="W50" s="574"/>
      <c r="X50" s="574"/>
      <c r="Y50" s="577"/>
      <c r="Z50" s="577"/>
      <c r="AA50" s="577"/>
      <c r="AB50" s="577"/>
      <c r="AC50" s="577"/>
      <c r="AD50" s="577"/>
      <c r="AE50" s="577"/>
      <c r="AF50" s="577"/>
      <c r="AG50" s="577"/>
      <c r="AH50" s="577"/>
      <c r="AI50" s="578"/>
      <c r="AJ50" s="143"/>
    </row>
    <row r="51" spans="1:36">
      <c r="A51" s="543" t="s">
        <v>60</v>
      </c>
      <c r="B51" s="544"/>
      <c r="C51" s="544"/>
      <c r="D51" s="545"/>
      <c r="E51" s="553" t="s">
        <v>61</v>
      </c>
      <c r="F51" s="553"/>
      <c r="G51" s="553"/>
      <c r="H51" s="553"/>
      <c r="I51" s="553"/>
      <c r="J51" s="555"/>
      <c r="K51" s="556"/>
      <c r="L51" s="556"/>
      <c r="M51" s="556"/>
      <c r="N51" s="556"/>
      <c r="O51" s="556"/>
      <c r="P51" s="556"/>
      <c r="Q51" s="556"/>
      <c r="R51" s="556"/>
      <c r="S51" s="557"/>
      <c r="T51" s="541" t="str">
        <f>IF(OR(J51="有",J51="未定"),"品目","")</f>
        <v/>
      </c>
      <c r="U51" s="541"/>
      <c r="V51" s="541"/>
      <c r="W51" s="541"/>
      <c r="X51" s="541"/>
      <c r="Y51" s="569"/>
      <c r="Z51" s="569"/>
      <c r="AA51" s="569"/>
      <c r="AB51" s="569"/>
      <c r="AC51" s="569"/>
      <c r="AD51" s="569"/>
      <c r="AE51" s="569"/>
      <c r="AF51" s="569"/>
      <c r="AG51" s="569"/>
      <c r="AH51" s="569"/>
      <c r="AI51" s="570"/>
      <c r="AJ51" s="143"/>
    </row>
    <row r="52" spans="1:36">
      <c r="A52" s="516"/>
      <c r="B52" s="517"/>
      <c r="C52" s="517"/>
      <c r="D52" s="546"/>
      <c r="E52" s="553"/>
      <c r="F52" s="553"/>
      <c r="G52" s="553"/>
      <c r="H52" s="553"/>
      <c r="I52" s="553"/>
      <c r="J52" s="555"/>
      <c r="K52" s="556"/>
      <c r="L52" s="556"/>
      <c r="M52" s="556"/>
      <c r="N52" s="556"/>
      <c r="O52" s="556"/>
      <c r="P52" s="556"/>
      <c r="Q52" s="556"/>
      <c r="R52" s="556"/>
      <c r="S52" s="557"/>
      <c r="T52" s="542" t="str">
        <f>IF(OR(J51="有",J51="未定"),"業者名","")</f>
        <v/>
      </c>
      <c r="U52" s="542"/>
      <c r="V52" s="542"/>
      <c r="W52" s="542"/>
      <c r="X52" s="542"/>
      <c r="Y52" s="571"/>
      <c r="Z52" s="571"/>
      <c r="AA52" s="571"/>
      <c r="AB52" s="571"/>
      <c r="AC52" s="571"/>
      <c r="AD52" s="571"/>
      <c r="AE52" s="571"/>
      <c r="AF52" s="571"/>
      <c r="AG52" s="571"/>
      <c r="AH52" s="571"/>
      <c r="AI52" s="572"/>
      <c r="AJ52" s="143"/>
    </row>
    <row r="53" spans="1:36">
      <c r="A53" s="547" t="s">
        <v>234</v>
      </c>
      <c r="B53" s="548"/>
      <c r="C53" s="548"/>
      <c r="D53" s="549"/>
      <c r="E53" s="553" t="s">
        <v>62</v>
      </c>
      <c r="F53" s="553"/>
      <c r="G53" s="553"/>
      <c r="H53" s="553"/>
      <c r="I53" s="553"/>
      <c r="J53" s="558"/>
      <c r="K53" s="558"/>
      <c r="L53" s="558"/>
      <c r="M53" s="558"/>
      <c r="N53" s="558"/>
      <c r="O53" s="558"/>
      <c r="P53" s="558"/>
      <c r="Q53" s="558"/>
      <c r="R53" s="558"/>
      <c r="S53" s="558"/>
      <c r="T53" s="573" t="s">
        <v>63</v>
      </c>
      <c r="U53" s="573"/>
      <c r="V53" s="573"/>
      <c r="W53" s="573"/>
      <c r="X53" s="573"/>
      <c r="Y53" s="575"/>
      <c r="Z53" s="575"/>
      <c r="AA53" s="575"/>
      <c r="AB53" s="575"/>
      <c r="AC53" s="575"/>
      <c r="AD53" s="575"/>
      <c r="AE53" s="575"/>
      <c r="AF53" s="575"/>
      <c r="AG53" s="575"/>
      <c r="AH53" s="575"/>
      <c r="AI53" s="576"/>
      <c r="AJ53" s="143"/>
    </row>
    <row r="54" spans="1:36">
      <c r="A54" s="547"/>
      <c r="B54" s="548"/>
      <c r="C54" s="548"/>
      <c r="D54" s="549"/>
      <c r="E54" s="553"/>
      <c r="F54" s="553"/>
      <c r="G54" s="553"/>
      <c r="H54" s="553"/>
      <c r="I54" s="553"/>
      <c r="J54" s="558"/>
      <c r="K54" s="558"/>
      <c r="L54" s="558"/>
      <c r="M54" s="558"/>
      <c r="N54" s="558"/>
      <c r="O54" s="558"/>
      <c r="P54" s="558"/>
      <c r="Q54" s="558"/>
      <c r="R54" s="558"/>
      <c r="S54" s="558"/>
      <c r="T54" s="574"/>
      <c r="U54" s="574"/>
      <c r="V54" s="574"/>
      <c r="W54" s="574"/>
      <c r="X54" s="574"/>
      <c r="Y54" s="577"/>
      <c r="Z54" s="577"/>
      <c r="AA54" s="577"/>
      <c r="AB54" s="577"/>
      <c r="AC54" s="577"/>
      <c r="AD54" s="577"/>
      <c r="AE54" s="577"/>
      <c r="AF54" s="577"/>
      <c r="AG54" s="577"/>
      <c r="AH54" s="577"/>
      <c r="AI54" s="578"/>
      <c r="AJ54" s="143"/>
    </row>
    <row r="55" spans="1:36">
      <c r="A55" s="547"/>
      <c r="B55" s="548"/>
      <c r="C55" s="548"/>
      <c r="D55" s="549"/>
      <c r="E55" s="554" t="s">
        <v>66</v>
      </c>
      <c r="F55" s="553"/>
      <c r="G55" s="553"/>
      <c r="H55" s="553"/>
      <c r="I55" s="553"/>
      <c r="J55" s="559"/>
      <c r="K55" s="560"/>
      <c r="L55" s="560"/>
      <c r="M55" s="560"/>
      <c r="N55" s="560"/>
      <c r="O55" s="560"/>
      <c r="P55" s="560"/>
      <c r="Q55" s="560"/>
      <c r="R55" s="560"/>
      <c r="S55" s="561"/>
      <c r="T55" s="554" t="s">
        <v>65</v>
      </c>
      <c r="U55" s="554"/>
      <c r="V55" s="554"/>
      <c r="W55" s="554"/>
      <c r="X55" s="554"/>
      <c r="Y55" s="575"/>
      <c r="Z55" s="575"/>
      <c r="AA55" s="575"/>
      <c r="AB55" s="575"/>
      <c r="AC55" s="575"/>
      <c r="AD55" s="575"/>
      <c r="AE55" s="575"/>
      <c r="AF55" s="575"/>
      <c r="AG55" s="575"/>
      <c r="AH55" s="575"/>
      <c r="AI55" s="576"/>
      <c r="AJ55" s="143"/>
    </row>
    <row r="56" spans="1:36">
      <c r="A56" s="550"/>
      <c r="B56" s="551"/>
      <c r="C56" s="551"/>
      <c r="D56" s="552"/>
      <c r="E56" s="553"/>
      <c r="F56" s="553"/>
      <c r="G56" s="553"/>
      <c r="H56" s="553"/>
      <c r="I56" s="553"/>
      <c r="J56" s="555"/>
      <c r="K56" s="556"/>
      <c r="L56" s="556"/>
      <c r="M56" s="556"/>
      <c r="N56" s="556"/>
      <c r="O56" s="556"/>
      <c r="P56" s="556"/>
      <c r="Q56" s="556"/>
      <c r="R56" s="556"/>
      <c r="S56" s="562"/>
      <c r="T56" s="554"/>
      <c r="U56" s="554"/>
      <c r="V56" s="554"/>
      <c r="W56" s="554"/>
      <c r="X56" s="554"/>
      <c r="Y56" s="577"/>
      <c r="Z56" s="577"/>
      <c r="AA56" s="577"/>
      <c r="AB56" s="577"/>
      <c r="AC56" s="577"/>
      <c r="AD56" s="577"/>
      <c r="AE56" s="577"/>
      <c r="AF56" s="577"/>
      <c r="AG56" s="577"/>
      <c r="AH56" s="577"/>
      <c r="AI56" s="578"/>
      <c r="AJ56" s="143"/>
    </row>
    <row r="57" spans="1:36" ht="13.5" customHeight="1">
      <c r="A57" s="543" t="s">
        <v>177</v>
      </c>
      <c r="B57" s="544"/>
      <c r="C57" s="544"/>
      <c r="D57" s="545"/>
      <c r="E57" s="563" t="s">
        <v>64</v>
      </c>
      <c r="F57" s="564"/>
      <c r="G57" s="564"/>
      <c r="H57" s="564"/>
      <c r="I57" s="565"/>
      <c r="J57" s="536"/>
      <c r="K57" s="474"/>
      <c r="L57" s="474"/>
      <c r="M57" s="474"/>
      <c r="N57" s="474"/>
      <c r="O57" s="537"/>
      <c r="P57" s="753" t="str">
        <f>IF(AND(J57=""),"",IF(OR(J57="一部可"),"公開可能情報、問合先等",IF(OR(J57="可"),"問合先：上記担当者と同様の場合は入力不要","")))</f>
        <v/>
      </c>
      <c r="Q57" s="754"/>
      <c r="R57" s="754"/>
      <c r="S57" s="755"/>
      <c r="T57" s="759"/>
      <c r="U57" s="760"/>
      <c r="V57" s="760"/>
      <c r="W57" s="760"/>
      <c r="X57" s="760"/>
      <c r="Y57" s="760"/>
      <c r="Z57" s="760"/>
      <c r="AA57" s="760"/>
      <c r="AB57" s="760"/>
      <c r="AC57" s="760"/>
      <c r="AD57" s="760"/>
      <c r="AE57" s="760"/>
      <c r="AF57" s="760"/>
      <c r="AG57" s="760"/>
      <c r="AH57" s="760"/>
      <c r="AI57" s="761"/>
      <c r="AJ57" s="143"/>
    </row>
    <row r="58" spans="1:36" ht="13.5" customHeight="1" thickBot="1">
      <c r="A58" s="750"/>
      <c r="B58" s="751"/>
      <c r="C58" s="751"/>
      <c r="D58" s="752"/>
      <c r="E58" s="566" t="str">
        <f>IF(OR(J57="可",J57="一部可"),"情報解禁日","")</f>
        <v/>
      </c>
      <c r="F58" s="567"/>
      <c r="G58" s="567"/>
      <c r="H58" s="567"/>
      <c r="I58" s="568"/>
      <c r="J58" s="538"/>
      <c r="K58" s="539"/>
      <c r="L58" s="539"/>
      <c r="M58" s="539"/>
      <c r="N58" s="539"/>
      <c r="O58" s="540"/>
      <c r="P58" s="756"/>
      <c r="Q58" s="757"/>
      <c r="R58" s="757"/>
      <c r="S58" s="758"/>
      <c r="T58" s="762"/>
      <c r="U58" s="763"/>
      <c r="V58" s="763"/>
      <c r="W58" s="763"/>
      <c r="X58" s="763"/>
      <c r="Y58" s="763"/>
      <c r="Z58" s="763"/>
      <c r="AA58" s="763"/>
      <c r="AB58" s="763"/>
      <c r="AC58" s="763"/>
      <c r="AD58" s="763"/>
      <c r="AE58" s="763"/>
      <c r="AF58" s="763"/>
      <c r="AG58" s="763"/>
      <c r="AH58" s="763"/>
      <c r="AI58" s="764"/>
      <c r="AJ58" s="143"/>
    </row>
    <row r="59" spans="1:36" ht="14.25" customHeight="1">
      <c r="A59" s="167"/>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43"/>
    </row>
    <row r="60" spans="1:36" ht="2.25" customHeight="1" thickBot="1">
      <c r="A60" s="167"/>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43"/>
    </row>
    <row r="61" spans="1:36" ht="15" thickBot="1">
      <c r="A61" s="166" t="s">
        <v>57</v>
      </c>
      <c r="B61" s="173"/>
      <c r="C61" s="173"/>
      <c r="D61" s="173"/>
      <c r="E61" s="173"/>
      <c r="F61" s="173"/>
      <c r="G61" s="173"/>
      <c r="H61" s="173"/>
      <c r="I61" s="173"/>
      <c r="J61" s="173"/>
      <c r="K61" s="173"/>
      <c r="L61" s="173"/>
      <c r="M61" s="173"/>
      <c r="N61" s="173"/>
      <c r="O61" s="173"/>
      <c r="P61" s="173"/>
      <c r="Q61" s="173"/>
      <c r="R61" s="173"/>
      <c r="S61" s="173"/>
      <c r="T61" s="173"/>
      <c r="U61" s="143"/>
      <c r="V61" s="143"/>
      <c r="W61" s="143"/>
      <c r="X61" s="143"/>
      <c r="Y61" s="143"/>
      <c r="Z61" s="724" t="s">
        <v>225</v>
      </c>
      <c r="AA61" s="634"/>
      <c r="AB61" s="634"/>
      <c r="AC61" s="634"/>
      <c r="AD61" s="634"/>
      <c r="AE61" s="634"/>
      <c r="AF61" s="634"/>
      <c r="AG61" s="634"/>
      <c r="AH61" s="634"/>
      <c r="AI61" s="677"/>
      <c r="AJ61" s="143"/>
    </row>
    <row r="62" spans="1:36">
      <c r="A62" s="724" t="s">
        <v>59</v>
      </c>
      <c r="B62" s="634"/>
      <c r="C62" s="634"/>
      <c r="D62" s="634"/>
      <c r="E62" s="634"/>
      <c r="F62" s="634"/>
      <c r="G62" s="635"/>
      <c r="H62" s="676" t="s">
        <v>50</v>
      </c>
      <c r="I62" s="634"/>
      <c r="J62" s="634"/>
      <c r="K62" s="634"/>
      <c r="L62" s="634"/>
      <c r="M62" s="635"/>
      <c r="N62" s="676" t="s">
        <v>52</v>
      </c>
      <c r="O62" s="634"/>
      <c r="P62" s="634"/>
      <c r="Q62" s="634"/>
      <c r="R62" s="634"/>
      <c r="S62" s="635"/>
      <c r="T62" s="676" t="s">
        <v>54</v>
      </c>
      <c r="U62" s="634"/>
      <c r="V62" s="634"/>
      <c r="W62" s="634"/>
      <c r="X62" s="634"/>
      <c r="Y62" s="677"/>
      <c r="Z62" s="579" t="s">
        <v>230</v>
      </c>
      <c r="AA62" s="580"/>
      <c r="AB62" s="580"/>
      <c r="AC62" s="580"/>
      <c r="AD62" s="580"/>
      <c r="AE62" s="580"/>
      <c r="AF62" s="580"/>
      <c r="AG62" s="580"/>
      <c r="AH62" s="580"/>
      <c r="AI62" s="581"/>
      <c r="AJ62" s="143"/>
    </row>
    <row r="63" spans="1:36" ht="13.5" customHeight="1" thickBot="1">
      <c r="A63" s="725"/>
      <c r="B63" s="679"/>
      <c r="C63" s="679"/>
      <c r="D63" s="679"/>
      <c r="E63" s="679"/>
      <c r="F63" s="679"/>
      <c r="G63" s="680"/>
      <c r="H63" s="678" t="s">
        <v>228</v>
      </c>
      <c r="I63" s="679"/>
      <c r="J63" s="679"/>
      <c r="K63" s="679"/>
      <c r="L63" s="679"/>
      <c r="M63" s="680"/>
      <c r="N63" s="678" t="s">
        <v>227</v>
      </c>
      <c r="O63" s="679"/>
      <c r="P63" s="679"/>
      <c r="Q63" s="679"/>
      <c r="R63" s="679"/>
      <c r="S63" s="680"/>
      <c r="T63" s="678" t="s">
        <v>226</v>
      </c>
      <c r="U63" s="679"/>
      <c r="V63" s="679"/>
      <c r="W63" s="679"/>
      <c r="X63" s="679"/>
      <c r="Y63" s="681"/>
      <c r="Z63" s="746" t="s">
        <v>58</v>
      </c>
      <c r="AA63" s="747"/>
      <c r="AB63" s="747"/>
      <c r="AC63" s="747"/>
      <c r="AD63" s="747"/>
      <c r="AE63" s="747"/>
      <c r="AF63" s="747"/>
      <c r="AG63" s="747"/>
      <c r="AH63" s="747"/>
      <c r="AI63" s="748"/>
      <c r="AJ63" s="143"/>
    </row>
    <row r="64" spans="1:36" ht="14.25" customHeight="1" thickTop="1">
      <c r="A64" s="525"/>
      <c r="B64" s="526"/>
      <c r="C64" s="526"/>
      <c r="D64" s="526"/>
      <c r="E64" s="526"/>
      <c r="F64" s="526"/>
      <c r="G64" s="527"/>
      <c r="H64" s="629"/>
      <c r="I64" s="531"/>
      <c r="J64" s="531"/>
      <c r="K64" s="531"/>
      <c r="L64" s="531"/>
      <c r="M64" s="630"/>
      <c r="N64" s="629"/>
      <c r="O64" s="531"/>
      <c r="P64" s="531"/>
      <c r="Q64" s="531"/>
      <c r="R64" s="531"/>
      <c r="S64" s="630"/>
      <c r="T64" s="629"/>
      <c r="U64" s="531"/>
      <c r="V64" s="531"/>
      <c r="W64" s="531"/>
      <c r="X64" s="531"/>
      <c r="Y64" s="630"/>
      <c r="Z64" s="682"/>
      <c r="AA64" s="683"/>
      <c r="AB64" s="683"/>
      <c r="AC64" s="683"/>
      <c r="AD64" s="683"/>
      <c r="AE64" s="683"/>
      <c r="AF64" s="683"/>
      <c r="AG64" s="683"/>
      <c r="AH64" s="683"/>
      <c r="AI64" s="684"/>
      <c r="AJ64" s="143"/>
    </row>
    <row r="65" spans="1:42" ht="15" customHeight="1">
      <c r="A65" s="528"/>
      <c r="B65" s="529"/>
      <c r="C65" s="529"/>
      <c r="D65" s="529"/>
      <c r="E65" s="529"/>
      <c r="F65" s="529"/>
      <c r="G65" s="530"/>
      <c r="H65" s="631"/>
      <c r="I65" s="472"/>
      <c r="J65" s="472"/>
      <c r="K65" s="472"/>
      <c r="L65" s="472"/>
      <c r="M65" s="632"/>
      <c r="N65" s="631"/>
      <c r="O65" s="472"/>
      <c r="P65" s="472"/>
      <c r="Q65" s="472"/>
      <c r="R65" s="472"/>
      <c r="S65" s="632"/>
      <c r="T65" s="631"/>
      <c r="U65" s="472"/>
      <c r="V65" s="472"/>
      <c r="W65" s="472"/>
      <c r="X65" s="472"/>
      <c r="Y65" s="632"/>
      <c r="Z65" s="501"/>
      <c r="AA65" s="502"/>
      <c r="AB65" s="502"/>
      <c r="AC65" s="502"/>
      <c r="AD65" s="502"/>
      <c r="AE65" s="502"/>
      <c r="AF65" s="502"/>
      <c r="AG65" s="502"/>
      <c r="AH65" s="502"/>
      <c r="AI65" s="503"/>
      <c r="AJ65" s="143"/>
      <c r="AL65" s="199" t="str">
        <f>IF(OR(Z64="",Z64="（使用時間選択・午前使用の施設に適用）"),"",1)</f>
        <v/>
      </c>
    </row>
    <row r="66" spans="1:42" ht="15" customHeight="1">
      <c r="A66" s="665"/>
      <c r="B66" s="666"/>
      <c r="C66" s="666"/>
      <c r="D66" s="666"/>
      <c r="E66" s="666"/>
      <c r="F66" s="666"/>
      <c r="G66" s="667"/>
      <c r="H66" s="555"/>
      <c r="I66" s="556"/>
      <c r="J66" s="556"/>
      <c r="K66" s="556"/>
      <c r="L66" s="556"/>
      <c r="M66" s="562"/>
      <c r="N66" s="555"/>
      <c r="O66" s="556"/>
      <c r="P66" s="556"/>
      <c r="Q66" s="556"/>
      <c r="R66" s="556"/>
      <c r="S66" s="562"/>
      <c r="T66" s="555"/>
      <c r="U66" s="556"/>
      <c r="V66" s="556"/>
      <c r="W66" s="556"/>
      <c r="X66" s="556"/>
      <c r="Y66" s="668"/>
      <c r="Z66" s="504"/>
      <c r="AA66" s="505"/>
      <c r="AB66" s="505"/>
      <c r="AC66" s="505"/>
      <c r="AD66" s="505"/>
      <c r="AE66" s="505"/>
      <c r="AF66" s="505"/>
      <c r="AG66" s="505"/>
      <c r="AH66" s="505"/>
      <c r="AI66" s="506"/>
      <c r="AJ66" s="143"/>
    </row>
    <row r="67" spans="1:42" ht="15" customHeight="1">
      <c r="A67" s="665"/>
      <c r="B67" s="666"/>
      <c r="C67" s="666"/>
      <c r="D67" s="666"/>
      <c r="E67" s="666"/>
      <c r="F67" s="666"/>
      <c r="G67" s="667"/>
      <c r="H67" s="555"/>
      <c r="I67" s="556"/>
      <c r="J67" s="556"/>
      <c r="K67" s="556"/>
      <c r="L67" s="556"/>
      <c r="M67" s="562"/>
      <c r="N67" s="555"/>
      <c r="O67" s="556"/>
      <c r="P67" s="556"/>
      <c r="Q67" s="556"/>
      <c r="R67" s="556"/>
      <c r="S67" s="562"/>
      <c r="T67" s="555"/>
      <c r="U67" s="556"/>
      <c r="V67" s="556"/>
      <c r="W67" s="556"/>
      <c r="X67" s="556"/>
      <c r="Y67" s="668"/>
      <c r="Z67" s="659"/>
      <c r="AA67" s="660"/>
      <c r="AB67" s="660"/>
      <c r="AC67" s="660"/>
      <c r="AD67" s="660"/>
      <c r="AE67" s="660"/>
      <c r="AF67" s="660"/>
      <c r="AG67" s="660"/>
      <c r="AH67" s="660"/>
      <c r="AI67" s="661"/>
      <c r="AJ67" s="143"/>
      <c r="AL67" s="199" t="str">
        <f>IF(OR(Z66="",Z66="（使用時間選択・午前使用の施設に適用）"),"",1)</f>
        <v/>
      </c>
    </row>
    <row r="68" spans="1:42" ht="15" customHeight="1">
      <c r="A68" s="665"/>
      <c r="B68" s="666"/>
      <c r="C68" s="666"/>
      <c r="D68" s="666"/>
      <c r="E68" s="666"/>
      <c r="F68" s="666"/>
      <c r="G68" s="667"/>
      <c r="H68" s="555"/>
      <c r="I68" s="556"/>
      <c r="J68" s="556"/>
      <c r="K68" s="556"/>
      <c r="L68" s="556"/>
      <c r="M68" s="562"/>
      <c r="N68" s="555"/>
      <c r="O68" s="556"/>
      <c r="P68" s="556"/>
      <c r="Q68" s="556"/>
      <c r="R68" s="556"/>
      <c r="S68" s="562"/>
      <c r="T68" s="555"/>
      <c r="U68" s="556"/>
      <c r="V68" s="556"/>
      <c r="W68" s="556"/>
      <c r="X68" s="556"/>
      <c r="Y68" s="668"/>
      <c r="Z68" s="662"/>
      <c r="AA68" s="663"/>
      <c r="AB68" s="663"/>
      <c r="AC68" s="663"/>
      <c r="AD68" s="663"/>
      <c r="AE68" s="663"/>
      <c r="AF68" s="663"/>
      <c r="AG68" s="663"/>
      <c r="AH68" s="663"/>
      <c r="AI68" s="664"/>
      <c r="AJ68" s="143"/>
    </row>
    <row r="69" spans="1:42" ht="15" customHeight="1">
      <c r="A69" s="665"/>
      <c r="B69" s="666"/>
      <c r="C69" s="666"/>
      <c r="D69" s="666"/>
      <c r="E69" s="666"/>
      <c r="F69" s="666"/>
      <c r="G69" s="667"/>
      <c r="H69" s="555"/>
      <c r="I69" s="556"/>
      <c r="J69" s="556"/>
      <c r="K69" s="556"/>
      <c r="L69" s="556"/>
      <c r="M69" s="562"/>
      <c r="N69" s="555"/>
      <c r="O69" s="556"/>
      <c r="P69" s="556"/>
      <c r="Q69" s="556"/>
      <c r="R69" s="556"/>
      <c r="S69" s="562"/>
      <c r="T69" s="555"/>
      <c r="U69" s="556"/>
      <c r="V69" s="556"/>
      <c r="W69" s="556"/>
      <c r="X69" s="556"/>
      <c r="Y69" s="668"/>
      <c r="Z69" s="501"/>
      <c r="AA69" s="502"/>
      <c r="AB69" s="502"/>
      <c r="AC69" s="502"/>
      <c r="AD69" s="502"/>
      <c r="AE69" s="502"/>
      <c r="AF69" s="502"/>
      <c r="AG69" s="502"/>
      <c r="AH69" s="502"/>
      <c r="AI69" s="503"/>
      <c r="AJ69" s="143"/>
      <c r="AL69" s="199" t="str">
        <f>IF(OR(Z68="",Z68="（使用時間選択・午前使用の施設に適用）"),"",1)</f>
        <v/>
      </c>
    </row>
    <row r="70" spans="1:42" ht="15" customHeight="1">
      <c r="A70" s="528"/>
      <c r="B70" s="529"/>
      <c r="C70" s="529"/>
      <c r="D70" s="529"/>
      <c r="E70" s="529"/>
      <c r="F70" s="529"/>
      <c r="G70" s="530"/>
      <c r="H70" s="631"/>
      <c r="I70" s="472"/>
      <c r="J70" s="472"/>
      <c r="K70" s="472"/>
      <c r="L70" s="472"/>
      <c r="M70" s="632"/>
      <c r="N70" s="631"/>
      <c r="O70" s="472"/>
      <c r="P70" s="472"/>
      <c r="Q70" s="472"/>
      <c r="R70" s="472"/>
      <c r="S70" s="632"/>
      <c r="T70" s="631"/>
      <c r="U70" s="472"/>
      <c r="V70" s="472"/>
      <c r="W70" s="472"/>
      <c r="X70" s="472"/>
      <c r="Y70" s="632"/>
      <c r="Z70" s="504"/>
      <c r="AA70" s="505"/>
      <c r="AB70" s="505"/>
      <c r="AC70" s="505"/>
      <c r="AD70" s="505"/>
      <c r="AE70" s="505"/>
      <c r="AF70" s="505"/>
      <c r="AG70" s="505"/>
      <c r="AH70" s="505"/>
      <c r="AI70" s="506"/>
      <c r="AJ70" s="143"/>
    </row>
    <row r="71" spans="1:42" ht="15" customHeight="1" thickBot="1">
      <c r="A71" s="455"/>
      <c r="B71" s="456"/>
      <c r="C71" s="456"/>
      <c r="D71" s="456"/>
      <c r="E71" s="456"/>
      <c r="F71" s="456"/>
      <c r="G71" s="457"/>
      <c r="H71" s="594"/>
      <c r="I71" s="595"/>
      <c r="J71" s="595"/>
      <c r="K71" s="595"/>
      <c r="L71" s="595"/>
      <c r="M71" s="669"/>
      <c r="N71" s="594"/>
      <c r="O71" s="595"/>
      <c r="P71" s="595"/>
      <c r="Q71" s="595"/>
      <c r="R71" s="595"/>
      <c r="S71" s="669"/>
      <c r="T71" s="594"/>
      <c r="U71" s="595"/>
      <c r="V71" s="595"/>
      <c r="W71" s="595"/>
      <c r="X71" s="595"/>
      <c r="Y71" s="669"/>
      <c r="Z71" s="507"/>
      <c r="AA71" s="508"/>
      <c r="AB71" s="508"/>
      <c r="AC71" s="508"/>
      <c r="AD71" s="508"/>
      <c r="AE71" s="508"/>
      <c r="AF71" s="508"/>
      <c r="AG71" s="508"/>
      <c r="AH71" s="508"/>
      <c r="AI71" s="509"/>
      <c r="AJ71" s="143"/>
      <c r="AL71" s="199" t="str">
        <f>IF(OR(Z70="",Z70="（使用時間選択・午前使用の施設に適用）"),"",1)</f>
        <v/>
      </c>
    </row>
    <row r="72" spans="1:42" ht="15" customHeight="1" thickBot="1">
      <c r="A72" s="427"/>
      <c r="B72" s="427"/>
      <c r="C72" s="427"/>
      <c r="D72" s="427"/>
      <c r="E72" s="427"/>
      <c r="F72" s="427"/>
      <c r="G72" s="427"/>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3"/>
    </row>
    <row r="73" spans="1:42" ht="15" thickBot="1">
      <c r="A73" s="428" t="s">
        <v>366</v>
      </c>
      <c r="B73" s="428"/>
      <c r="C73" s="428"/>
      <c r="D73" s="428"/>
      <c r="E73" s="428"/>
      <c r="F73" s="428"/>
      <c r="G73" s="428"/>
      <c r="H73" s="166"/>
      <c r="I73" s="166"/>
      <c r="J73" s="166"/>
      <c r="K73" s="166"/>
      <c r="L73" s="166"/>
      <c r="M73" s="166"/>
      <c r="N73" s="166"/>
      <c r="O73" s="166"/>
      <c r="P73" s="166"/>
      <c r="Q73" s="166"/>
      <c r="R73" s="166"/>
      <c r="S73" s="166"/>
      <c r="T73" s="166"/>
      <c r="U73" s="166"/>
      <c r="V73" s="166"/>
      <c r="W73" s="166"/>
      <c r="X73" s="166"/>
      <c r="Y73" s="166"/>
      <c r="Z73" s="510" t="s">
        <v>229</v>
      </c>
      <c r="AA73" s="511"/>
      <c r="AB73" s="511"/>
      <c r="AC73" s="511"/>
      <c r="AD73" s="511"/>
      <c r="AE73" s="511"/>
      <c r="AF73" s="511"/>
      <c r="AG73" s="511"/>
      <c r="AH73" s="511"/>
      <c r="AI73" s="512"/>
      <c r="AJ73" s="143"/>
    </row>
    <row r="74" spans="1:42">
      <c r="A74" s="670" t="s">
        <v>59</v>
      </c>
      <c r="B74" s="671"/>
      <c r="C74" s="671"/>
      <c r="D74" s="671"/>
      <c r="E74" s="671"/>
      <c r="F74" s="671"/>
      <c r="G74" s="672"/>
      <c r="H74" s="676" t="s">
        <v>50</v>
      </c>
      <c r="I74" s="634"/>
      <c r="J74" s="634"/>
      <c r="K74" s="634"/>
      <c r="L74" s="634"/>
      <c r="M74" s="635"/>
      <c r="N74" s="676" t="s">
        <v>52</v>
      </c>
      <c r="O74" s="634"/>
      <c r="P74" s="634"/>
      <c r="Q74" s="634"/>
      <c r="R74" s="634"/>
      <c r="S74" s="635"/>
      <c r="T74" s="634" t="s">
        <v>54</v>
      </c>
      <c r="U74" s="634"/>
      <c r="V74" s="634"/>
      <c r="W74" s="634"/>
      <c r="X74" s="634"/>
      <c r="Y74" s="677"/>
      <c r="Z74" s="516" t="s">
        <v>231</v>
      </c>
      <c r="AA74" s="517"/>
      <c r="AB74" s="517"/>
      <c r="AC74" s="517"/>
      <c r="AD74" s="517"/>
      <c r="AE74" s="517"/>
      <c r="AF74" s="517"/>
      <c r="AG74" s="517"/>
      <c r="AH74" s="517"/>
      <c r="AI74" s="518"/>
      <c r="AJ74" s="143"/>
    </row>
    <row r="75" spans="1:42" ht="13.5" customHeight="1" thickBot="1">
      <c r="A75" s="673"/>
      <c r="B75" s="674"/>
      <c r="C75" s="674"/>
      <c r="D75" s="674"/>
      <c r="E75" s="674"/>
      <c r="F75" s="674"/>
      <c r="G75" s="675"/>
      <c r="H75" s="678" t="s">
        <v>228</v>
      </c>
      <c r="I75" s="679"/>
      <c r="J75" s="679"/>
      <c r="K75" s="679"/>
      <c r="L75" s="679"/>
      <c r="M75" s="680"/>
      <c r="N75" s="678" t="s">
        <v>227</v>
      </c>
      <c r="O75" s="679"/>
      <c r="P75" s="679"/>
      <c r="Q75" s="679"/>
      <c r="R75" s="679"/>
      <c r="S75" s="680"/>
      <c r="T75" s="679" t="s">
        <v>226</v>
      </c>
      <c r="U75" s="679"/>
      <c r="V75" s="679"/>
      <c r="W75" s="679"/>
      <c r="X75" s="679"/>
      <c r="Y75" s="681"/>
      <c r="Z75" s="519"/>
      <c r="AA75" s="520"/>
      <c r="AB75" s="520"/>
      <c r="AC75" s="520"/>
      <c r="AD75" s="520"/>
      <c r="AE75" s="520"/>
      <c r="AF75" s="520"/>
      <c r="AG75" s="520"/>
      <c r="AH75" s="520"/>
      <c r="AI75" s="521"/>
      <c r="AJ75" s="143"/>
      <c r="AL75" s="201"/>
    </row>
    <row r="76" spans="1:42" ht="14.25" customHeight="1" thickTop="1">
      <c r="A76" s="525"/>
      <c r="B76" s="526"/>
      <c r="C76" s="526"/>
      <c r="D76" s="526"/>
      <c r="E76" s="526"/>
      <c r="F76" s="526"/>
      <c r="G76" s="527"/>
      <c r="H76" s="522" t="s">
        <v>410</v>
      </c>
      <c r="I76" s="523"/>
      <c r="J76" s="523"/>
      <c r="K76" s="523"/>
      <c r="L76" s="523"/>
      <c r="M76" s="524"/>
      <c r="N76" s="522" t="s">
        <v>318</v>
      </c>
      <c r="O76" s="523"/>
      <c r="P76" s="523"/>
      <c r="Q76" s="523"/>
      <c r="R76" s="523"/>
      <c r="S76" s="524"/>
      <c r="T76" s="531" t="s">
        <v>318</v>
      </c>
      <c r="U76" s="531"/>
      <c r="V76" s="531"/>
      <c r="W76" s="531"/>
      <c r="X76" s="531"/>
      <c r="Y76" s="532"/>
      <c r="Z76" s="513" t="s">
        <v>378</v>
      </c>
      <c r="AA76" s="514"/>
      <c r="AB76" s="514"/>
      <c r="AC76" s="514"/>
      <c r="AD76" s="514"/>
      <c r="AE76" s="514"/>
      <c r="AF76" s="514"/>
      <c r="AG76" s="514"/>
      <c r="AH76" s="514"/>
      <c r="AI76" s="515"/>
      <c r="AJ76" s="143"/>
    </row>
    <row r="77" spans="1:42" ht="15" customHeight="1" thickBot="1">
      <c r="A77" s="528"/>
      <c r="B77" s="529"/>
      <c r="C77" s="529"/>
      <c r="D77" s="529"/>
      <c r="E77" s="529"/>
      <c r="F77" s="529"/>
      <c r="G77" s="530"/>
      <c r="H77" s="468"/>
      <c r="I77" s="469"/>
      <c r="J77" s="470" t="s">
        <v>232</v>
      </c>
      <c r="K77" s="470"/>
      <c r="L77" s="470"/>
      <c r="M77" s="471"/>
      <c r="N77" s="468"/>
      <c r="O77" s="469"/>
      <c r="P77" s="470" t="s">
        <v>232</v>
      </c>
      <c r="Q77" s="470"/>
      <c r="R77" s="470"/>
      <c r="S77" s="471"/>
      <c r="T77" s="483"/>
      <c r="U77" s="484"/>
      <c r="V77" s="492" t="s">
        <v>232</v>
      </c>
      <c r="W77" s="492"/>
      <c r="X77" s="492"/>
      <c r="Y77" s="493"/>
      <c r="Z77" s="485"/>
      <c r="AA77" s="486"/>
      <c r="AB77" s="486"/>
      <c r="AC77" s="487" t="s">
        <v>232</v>
      </c>
      <c r="AD77" s="487"/>
      <c r="AE77" s="487"/>
      <c r="AF77" s="487"/>
      <c r="AG77" s="487"/>
      <c r="AH77" s="487"/>
      <c r="AI77" s="488"/>
      <c r="AJ77" s="143"/>
      <c r="AL77" s="199" t="str">
        <f>IF(OR(Z76="",Z76="（使用時間選択・午前使用の施設に適用）"),"",1)</f>
        <v/>
      </c>
    </row>
    <row r="78" spans="1:42" ht="15" customHeight="1" thickBot="1">
      <c r="A78" s="452"/>
      <c r="B78" s="453"/>
      <c r="C78" s="453"/>
      <c r="D78" s="453"/>
      <c r="E78" s="453"/>
      <c r="F78" s="453"/>
      <c r="G78" s="454"/>
      <c r="H78" s="458" t="s">
        <v>318</v>
      </c>
      <c r="I78" s="459"/>
      <c r="J78" s="459"/>
      <c r="K78" s="459"/>
      <c r="L78" s="459"/>
      <c r="M78" s="460"/>
      <c r="N78" s="458" t="s">
        <v>318</v>
      </c>
      <c r="O78" s="459"/>
      <c r="P78" s="459"/>
      <c r="Q78" s="459"/>
      <c r="R78" s="459"/>
      <c r="S78" s="460"/>
      <c r="T78" s="474" t="s">
        <v>318</v>
      </c>
      <c r="U78" s="474"/>
      <c r="V78" s="474"/>
      <c r="W78" s="474"/>
      <c r="X78" s="474"/>
      <c r="Y78" s="475"/>
      <c r="Z78" s="480" t="s">
        <v>319</v>
      </c>
      <c r="AA78" s="481"/>
      <c r="AB78" s="481"/>
      <c r="AC78" s="481"/>
      <c r="AD78" s="481"/>
      <c r="AE78" s="481"/>
      <c r="AF78" s="481"/>
      <c r="AG78" s="481"/>
      <c r="AH78" s="481"/>
      <c r="AI78" s="482"/>
      <c r="AJ78" s="143"/>
      <c r="AL78" s="200" t="b">
        <v>0</v>
      </c>
      <c r="AM78" s="200" t="b">
        <v>0</v>
      </c>
      <c r="AN78" s="200" t="b">
        <v>0</v>
      </c>
      <c r="AP78" s="200" t="b">
        <v>0</v>
      </c>
    </row>
    <row r="79" spans="1:42" ht="14.25" customHeight="1" thickBot="1">
      <c r="A79" s="533"/>
      <c r="B79" s="534"/>
      <c r="C79" s="534"/>
      <c r="D79" s="534"/>
      <c r="E79" s="534"/>
      <c r="F79" s="534"/>
      <c r="G79" s="535"/>
      <c r="H79" s="468"/>
      <c r="I79" s="469"/>
      <c r="J79" s="470" t="s">
        <v>233</v>
      </c>
      <c r="K79" s="470"/>
      <c r="L79" s="470"/>
      <c r="M79" s="471"/>
      <c r="N79" s="468"/>
      <c r="O79" s="469"/>
      <c r="P79" s="470" t="s">
        <v>232</v>
      </c>
      <c r="Q79" s="470"/>
      <c r="R79" s="470"/>
      <c r="S79" s="471"/>
      <c r="T79" s="483"/>
      <c r="U79" s="484"/>
      <c r="V79" s="492" t="s">
        <v>232</v>
      </c>
      <c r="W79" s="492"/>
      <c r="X79" s="492"/>
      <c r="Y79" s="493"/>
      <c r="Z79" s="485"/>
      <c r="AA79" s="486"/>
      <c r="AB79" s="486"/>
      <c r="AC79" s="487" t="s">
        <v>233</v>
      </c>
      <c r="AD79" s="487"/>
      <c r="AE79" s="487"/>
      <c r="AF79" s="487"/>
      <c r="AG79" s="487"/>
      <c r="AH79" s="487"/>
      <c r="AI79" s="488"/>
      <c r="AJ79" s="143"/>
      <c r="AL79" s="199" t="str">
        <f>IF(OR(Z78="",Z78="（使用時間選択・午前使用の施設に適用）"),"",1)</f>
        <v/>
      </c>
    </row>
    <row r="80" spans="1:42" ht="13.5" customHeight="1" thickBot="1">
      <c r="A80" s="528"/>
      <c r="B80" s="529"/>
      <c r="C80" s="529"/>
      <c r="D80" s="529"/>
      <c r="E80" s="529"/>
      <c r="F80" s="529"/>
      <c r="G80" s="530"/>
      <c r="H80" s="489" t="s">
        <v>318</v>
      </c>
      <c r="I80" s="490"/>
      <c r="J80" s="490"/>
      <c r="K80" s="490"/>
      <c r="L80" s="490"/>
      <c r="M80" s="491"/>
      <c r="N80" s="489" t="s">
        <v>318</v>
      </c>
      <c r="O80" s="490"/>
      <c r="P80" s="490"/>
      <c r="Q80" s="490"/>
      <c r="R80" s="490"/>
      <c r="S80" s="491"/>
      <c r="T80" s="472" t="s">
        <v>318</v>
      </c>
      <c r="U80" s="472"/>
      <c r="V80" s="472"/>
      <c r="W80" s="472"/>
      <c r="X80" s="472"/>
      <c r="Y80" s="473"/>
      <c r="Z80" s="498" t="s">
        <v>319</v>
      </c>
      <c r="AA80" s="499"/>
      <c r="AB80" s="499"/>
      <c r="AC80" s="499"/>
      <c r="AD80" s="499"/>
      <c r="AE80" s="499"/>
      <c r="AF80" s="499"/>
      <c r="AG80" s="499"/>
      <c r="AH80" s="499"/>
      <c r="AI80" s="500"/>
      <c r="AJ80" s="143"/>
      <c r="AL80" s="200" t="b">
        <v>0</v>
      </c>
      <c r="AM80" s="200" t="b">
        <v>0</v>
      </c>
      <c r="AN80" s="200" t="b">
        <v>0</v>
      </c>
      <c r="AP80" s="200" t="b">
        <v>0</v>
      </c>
    </row>
    <row r="81" spans="1:42" ht="15" customHeight="1" thickBot="1">
      <c r="A81" s="528"/>
      <c r="B81" s="529"/>
      <c r="C81" s="529"/>
      <c r="D81" s="529"/>
      <c r="E81" s="529"/>
      <c r="F81" s="529"/>
      <c r="G81" s="530"/>
      <c r="H81" s="468"/>
      <c r="I81" s="469"/>
      <c r="J81" s="470" t="s">
        <v>232</v>
      </c>
      <c r="K81" s="470"/>
      <c r="L81" s="470"/>
      <c r="M81" s="471"/>
      <c r="N81" s="468"/>
      <c r="O81" s="469"/>
      <c r="P81" s="470" t="s">
        <v>232</v>
      </c>
      <c r="Q81" s="470"/>
      <c r="R81" s="470"/>
      <c r="S81" s="471"/>
      <c r="T81" s="483"/>
      <c r="U81" s="484"/>
      <c r="V81" s="492" t="s">
        <v>233</v>
      </c>
      <c r="W81" s="492"/>
      <c r="X81" s="492"/>
      <c r="Y81" s="493"/>
      <c r="Z81" s="485"/>
      <c r="AA81" s="486"/>
      <c r="AB81" s="486"/>
      <c r="AC81" s="487" t="s">
        <v>233</v>
      </c>
      <c r="AD81" s="487"/>
      <c r="AE81" s="487"/>
      <c r="AF81" s="487"/>
      <c r="AG81" s="487"/>
      <c r="AH81" s="487"/>
      <c r="AI81" s="488"/>
      <c r="AJ81" s="143"/>
      <c r="AL81" s="199" t="str">
        <f>IF(OR(Z80="",Z80="（使用時間選択・午前使用の施設に適用）"),"",1)</f>
        <v/>
      </c>
    </row>
    <row r="82" spans="1:42" ht="13.5" customHeight="1" thickBot="1">
      <c r="A82" s="452"/>
      <c r="B82" s="453"/>
      <c r="C82" s="453"/>
      <c r="D82" s="453"/>
      <c r="E82" s="453"/>
      <c r="F82" s="453"/>
      <c r="G82" s="454"/>
      <c r="H82" s="458" t="s">
        <v>318</v>
      </c>
      <c r="I82" s="459"/>
      <c r="J82" s="459"/>
      <c r="K82" s="459"/>
      <c r="L82" s="459"/>
      <c r="M82" s="460"/>
      <c r="N82" s="458" t="s">
        <v>318</v>
      </c>
      <c r="O82" s="459"/>
      <c r="P82" s="459"/>
      <c r="Q82" s="459"/>
      <c r="R82" s="459"/>
      <c r="S82" s="460"/>
      <c r="T82" s="474" t="s">
        <v>318</v>
      </c>
      <c r="U82" s="474"/>
      <c r="V82" s="474"/>
      <c r="W82" s="474"/>
      <c r="X82" s="474"/>
      <c r="Y82" s="475"/>
      <c r="Z82" s="480" t="s">
        <v>319</v>
      </c>
      <c r="AA82" s="481"/>
      <c r="AB82" s="481"/>
      <c r="AC82" s="481"/>
      <c r="AD82" s="481"/>
      <c r="AE82" s="481"/>
      <c r="AF82" s="481"/>
      <c r="AG82" s="481"/>
      <c r="AH82" s="481"/>
      <c r="AI82" s="482"/>
      <c r="AJ82" s="143"/>
      <c r="AL82" s="200" t="b">
        <v>0</v>
      </c>
      <c r="AM82" s="200" t="b">
        <v>0</v>
      </c>
      <c r="AN82" s="200" t="b">
        <v>0</v>
      </c>
      <c r="AP82" s="200" t="b">
        <v>0</v>
      </c>
    </row>
    <row r="83" spans="1:42" ht="12.75" thickBot="1">
      <c r="A83" s="455"/>
      <c r="B83" s="456"/>
      <c r="C83" s="456"/>
      <c r="D83" s="456"/>
      <c r="E83" s="456"/>
      <c r="F83" s="456"/>
      <c r="G83" s="457"/>
      <c r="H83" s="464"/>
      <c r="I83" s="465"/>
      <c r="J83" s="466" t="s">
        <v>232</v>
      </c>
      <c r="K83" s="466"/>
      <c r="L83" s="466"/>
      <c r="M83" s="467"/>
      <c r="N83" s="464"/>
      <c r="O83" s="465"/>
      <c r="P83" s="466" t="s">
        <v>232</v>
      </c>
      <c r="Q83" s="466"/>
      <c r="R83" s="466"/>
      <c r="S83" s="467"/>
      <c r="T83" s="494"/>
      <c r="U83" s="495"/>
      <c r="V83" s="496" t="s">
        <v>232</v>
      </c>
      <c r="W83" s="496"/>
      <c r="X83" s="496"/>
      <c r="Y83" s="497"/>
      <c r="Z83" s="476"/>
      <c r="AA83" s="477"/>
      <c r="AB83" s="477"/>
      <c r="AC83" s="478" t="s">
        <v>232</v>
      </c>
      <c r="AD83" s="478"/>
      <c r="AE83" s="478"/>
      <c r="AF83" s="478"/>
      <c r="AG83" s="478"/>
      <c r="AH83" s="478"/>
      <c r="AI83" s="479"/>
      <c r="AJ83" s="143"/>
      <c r="AL83" s="199" t="str">
        <f>IF(OR(Z82="",Z82="（使用時間選択・午前使用の施設に適用）"),"",1)</f>
        <v/>
      </c>
    </row>
    <row r="84" spans="1:42" ht="15" customHeight="1" thickBot="1">
      <c r="A84" s="582"/>
      <c r="B84" s="582"/>
      <c r="C84" s="582"/>
      <c r="D84" s="582"/>
      <c r="E84" s="582"/>
      <c r="F84" s="582"/>
      <c r="G84" s="582"/>
      <c r="H84" s="582"/>
      <c r="I84" s="582"/>
      <c r="J84" s="582"/>
      <c r="K84" s="582"/>
      <c r="L84" s="582"/>
      <c r="M84" s="582"/>
      <c r="N84" s="582"/>
      <c r="O84" s="582"/>
      <c r="P84" s="582"/>
      <c r="Q84" s="582"/>
      <c r="R84" s="582"/>
      <c r="S84" s="582"/>
      <c r="T84" s="582"/>
      <c r="U84" s="582"/>
      <c r="V84" s="582"/>
      <c r="W84" s="582"/>
      <c r="X84" s="582"/>
      <c r="Y84" s="582"/>
      <c r="Z84" s="582"/>
      <c r="AA84" s="582"/>
      <c r="AB84" s="582"/>
      <c r="AC84" s="582"/>
      <c r="AD84" s="582"/>
      <c r="AE84" s="582"/>
      <c r="AF84" s="582"/>
      <c r="AG84" s="582"/>
      <c r="AH84" s="582"/>
      <c r="AI84" s="582"/>
      <c r="AJ84" s="143"/>
      <c r="AL84" s="200" t="b">
        <v>0</v>
      </c>
      <c r="AM84" s="200" t="b">
        <v>0</v>
      </c>
      <c r="AN84" s="200" t="b">
        <v>0</v>
      </c>
      <c r="AP84" s="200" t="b">
        <v>0</v>
      </c>
    </row>
    <row r="85" spans="1:42">
      <c r="A85" s="313"/>
      <c r="B85" s="192"/>
      <c r="C85" s="192"/>
      <c r="D85" s="192"/>
      <c r="E85" s="192"/>
      <c r="F85" s="192"/>
      <c r="G85" s="192"/>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H85" s="192"/>
      <c r="AI85" s="192"/>
      <c r="AJ85" s="143"/>
    </row>
    <row r="86" spans="1:42">
      <c r="A86" s="462" t="str">
        <f>IF(OR(内訳書!L2="○",内訳書!L2="◎"),"　上記のとおり使用を許可する。また、同一施設において連続した二つ以上の時間区分を使用する場合、中断することなく使用することを許可する。ただし、下記条件を遵守すること。","")</f>
        <v/>
      </c>
      <c r="B86" s="462"/>
      <c r="C86" s="462"/>
      <c r="D86" s="462"/>
      <c r="E86" s="462"/>
      <c r="F86" s="462"/>
      <c r="G86" s="462"/>
      <c r="H86" s="462"/>
      <c r="I86" s="462"/>
      <c r="J86" s="462"/>
      <c r="K86" s="462"/>
      <c r="L86" s="462"/>
      <c r="M86" s="462"/>
      <c r="N86" s="462"/>
      <c r="O86" s="462"/>
      <c r="P86" s="462"/>
      <c r="Q86" s="462"/>
      <c r="R86" s="462"/>
      <c r="S86" s="462"/>
      <c r="T86" s="462"/>
      <c r="U86" s="462"/>
      <c r="V86" s="462"/>
      <c r="W86" s="462"/>
      <c r="X86" s="462"/>
      <c r="Y86" s="462"/>
      <c r="Z86" s="462"/>
      <c r="AA86" s="462"/>
      <c r="AB86" s="462"/>
      <c r="AC86" s="462"/>
      <c r="AD86" s="462"/>
      <c r="AE86" s="462"/>
      <c r="AF86" s="462"/>
      <c r="AG86" s="462"/>
      <c r="AH86" s="462"/>
      <c r="AI86" s="462"/>
      <c r="AJ86" s="143"/>
    </row>
    <row r="87" spans="1:42" ht="16.5" customHeight="1">
      <c r="A87" s="462"/>
      <c r="B87" s="462"/>
      <c r="C87" s="462"/>
      <c r="D87" s="462"/>
      <c r="E87" s="462"/>
      <c r="F87" s="462"/>
      <c r="G87" s="462"/>
      <c r="H87" s="462"/>
      <c r="I87" s="462"/>
      <c r="J87" s="462"/>
      <c r="K87" s="462"/>
      <c r="L87" s="462"/>
      <c r="M87" s="462"/>
      <c r="N87" s="462"/>
      <c r="O87" s="462"/>
      <c r="P87" s="462"/>
      <c r="Q87" s="462"/>
      <c r="R87" s="462"/>
      <c r="S87" s="462"/>
      <c r="T87" s="462"/>
      <c r="U87" s="462"/>
      <c r="V87" s="462"/>
      <c r="W87" s="462"/>
      <c r="X87" s="462"/>
      <c r="Y87" s="462"/>
      <c r="Z87" s="462"/>
      <c r="AA87" s="462"/>
      <c r="AB87" s="462"/>
      <c r="AC87" s="462"/>
      <c r="AD87" s="462"/>
      <c r="AE87" s="462"/>
      <c r="AF87" s="462"/>
      <c r="AG87" s="462"/>
      <c r="AH87" s="462"/>
      <c r="AI87" s="462"/>
      <c r="AJ87" s="143"/>
    </row>
    <row r="88" spans="1:42">
      <c r="A88" s="190"/>
      <c r="B88" s="190"/>
      <c r="C88" s="190"/>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c r="AH88" s="190"/>
      <c r="AI88" s="190"/>
      <c r="AJ88" s="143"/>
    </row>
    <row r="89" spans="1:42">
      <c r="A89" s="190"/>
      <c r="B89" s="190"/>
      <c r="C89" s="190"/>
      <c r="D89" s="190"/>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43"/>
    </row>
    <row r="90" spans="1:42">
      <c r="A90" s="190"/>
      <c r="B90" s="190"/>
      <c r="C90" s="190"/>
      <c r="D90" s="190"/>
      <c r="E90" s="190"/>
      <c r="F90" s="190"/>
      <c r="G90" s="190"/>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43"/>
    </row>
    <row r="91" spans="1:42">
      <c r="A91" s="463" t="str">
        <f ca="1">IF(内訳書!L2="○"," 　 年　  月　　日",IF(内訳書!L2="◎",TODAY(),""))</f>
        <v/>
      </c>
      <c r="B91" s="463"/>
      <c r="C91" s="463"/>
      <c r="D91" s="463"/>
      <c r="E91" s="463"/>
      <c r="F91" s="463"/>
      <c r="G91" s="463"/>
      <c r="H91" s="463"/>
      <c r="I91" s="463"/>
      <c r="J91" s="192"/>
      <c r="K91" s="192"/>
      <c r="L91" s="462" t="str">
        <f>IF(OR(内訳書!L2="○",内訳書!L2="◎"),"　東北大学百周年記念会館館長","")</f>
        <v/>
      </c>
      <c r="M91" s="462"/>
      <c r="N91" s="462"/>
      <c r="O91" s="462"/>
      <c r="P91" s="462"/>
      <c r="Q91" s="462"/>
      <c r="R91" s="462"/>
      <c r="S91" s="462"/>
      <c r="T91" s="462"/>
      <c r="U91" s="462"/>
      <c r="V91" s="462"/>
      <c r="W91" s="462"/>
      <c r="X91" s="462"/>
      <c r="Y91" s="462"/>
      <c r="Z91" s="462"/>
      <c r="AA91" s="462"/>
      <c r="AB91" s="462"/>
      <c r="AC91" s="462"/>
      <c r="AD91" s="462"/>
      <c r="AE91" s="462"/>
      <c r="AF91" s="462"/>
      <c r="AG91" s="462"/>
      <c r="AH91" s="462"/>
      <c r="AI91" s="462"/>
      <c r="AJ91" s="143"/>
    </row>
    <row r="92" spans="1:42" ht="13.5" customHeight="1">
      <c r="A92" s="192"/>
      <c r="B92" s="192"/>
      <c r="C92" s="192"/>
      <c r="D92" s="192"/>
      <c r="E92" s="192"/>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43"/>
    </row>
    <row r="93" spans="1:42">
      <c r="A93" s="192"/>
      <c r="B93" s="192"/>
      <c r="C93" s="192"/>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43"/>
    </row>
    <row r="94" spans="1:42">
      <c r="A94" s="192"/>
      <c r="B94" s="192"/>
      <c r="C94" s="192"/>
      <c r="D94" s="192"/>
      <c r="E94" s="192"/>
      <c r="F94" s="192"/>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43"/>
    </row>
    <row r="95" spans="1:42" ht="12.75" thickBot="1">
      <c r="A95" s="313"/>
      <c r="B95" s="192"/>
      <c r="C95" s="192"/>
      <c r="D95" s="192"/>
      <c r="E95" s="192"/>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c r="AI95" s="192"/>
      <c r="AJ95" s="143"/>
    </row>
    <row r="96" spans="1:42" ht="15" thickBot="1">
      <c r="A96" s="656" t="s">
        <v>8</v>
      </c>
      <c r="B96" s="657"/>
      <c r="C96" s="657"/>
      <c r="D96" s="657"/>
      <c r="E96" s="657"/>
      <c r="F96" s="657"/>
      <c r="G96" s="657"/>
      <c r="H96" s="657"/>
      <c r="I96" s="657"/>
      <c r="J96" s="657"/>
      <c r="K96" s="657"/>
      <c r="L96" s="657"/>
      <c r="M96" s="657"/>
      <c r="N96" s="657"/>
      <c r="O96" s="657"/>
      <c r="P96" s="657"/>
      <c r="Q96" s="657"/>
      <c r="R96" s="657"/>
      <c r="S96" s="657"/>
      <c r="T96" s="657"/>
      <c r="U96" s="657"/>
      <c r="V96" s="657"/>
      <c r="W96" s="657"/>
      <c r="X96" s="657"/>
      <c r="Y96" s="657"/>
      <c r="Z96" s="657"/>
      <c r="AA96" s="657"/>
      <c r="AB96" s="657"/>
      <c r="AC96" s="657"/>
      <c r="AD96" s="657"/>
      <c r="AE96" s="657"/>
      <c r="AF96" s="657"/>
      <c r="AG96" s="657"/>
      <c r="AH96" s="657"/>
      <c r="AI96" s="658"/>
      <c r="AJ96" s="143"/>
    </row>
    <row r="97" spans="1:36" ht="12.75" thickTop="1">
      <c r="A97" s="151">
        <v>1</v>
      </c>
      <c r="B97" s="450" t="s">
        <v>191</v>
      </c>
      <c r="C97" s="450"/>
      <c r="D97" s="450"/>
      <c r="E97" s="450"/>
      <c r="F97" s="450"/>
      <c r="G97" s="450"/>
      <c r="H97" s="450"/>
      <c r="I97" s="450"/>
      <c r="J97" s="450"/>
      <c r="K97" s="450"/>
      <c r="L97" s="450"/>
      <c r="M97" s="450"/>
      <c r="N97" s="450"/>
      <c r="O97" s="450"/>
      <c r="P97" s="450"/>
      <c r="Q97" s="450"/>
      <c r="R97" s="450"/>
      <c r="S97" s="450"/>
      <c r="T97" s="450"/>
      <c r="U97" s="450"/>
      <c r="V97" s="450"/>
      <c r="W97" s="450"/>
      <c r="X97" s="450"/>
      <c r="Y97" s="450"/>
      <c r="Z97" s="450"/>
      <c r="AA97" s="450"/>
      <c r="AB97" s="450"/>
      <c r="AC97" s="450"/>
      <c r="AD97" s="450"/>
      <c r="AE97" s="450"/>
      <c r="AF97" s="450"/>
      <c r="AG97" s="450"/>
      <c r="AH97" s="450"/>
      <c r="AI97" s="451"/>
      <c r="AJ97" s="143"/>
    </row>
    <row r="98" spans="1:36" s="202" customFormat="1" ht="12" customHeight="1">
      <c r="A98" s="151"/>
      <c r="B98" s="450"/>
      <c r="C98" s="450"/>
      <c r="D98" s="450"/>
      <c r="E98" s="450"/>
      <c r="F98" s="450"/>
      <c r="G98" s="450"/>
      <c r="H98" s="450"/>
      <c r="I98" s="450"/>
      <c r="J98" s="450"/>
      <c r="K98" s="450"/>
      <c r="L98" s="450"/>
      <c r="M98" s="450"/>
      <c r="N98" s="450"/>
      <c r="O98" s="450"/>
      <c r="P98" s="450"/>
      <c r="Q98" s="450"/>
      <c r="R98" s="450"/>
      <c r="S98" s="450"/>
      <c r="T98" s="450"/>
      <c r="U98" s="450"/>
      <c r="V98" s="450"/>
      <c r="W98" s="450"/>
      <c r="X98" s="450"/>
      <c r="Y98" s="450"/>
      <c r="Z98" s="450"/>
      <c r="AA98" s="450"/>
      <c r="AB98" s="450"/>
      <c r="AC98" s="450"/>
      <c r="AD98" s="450"/>
      <c r="AE98" s="450"/>
      <c r="AF98" s="450"/>
      <c r="AG98" s="450"/>
      <c r="AH98" s="450"/>
      <c r="AI98" s="451"/>
      <c r="AJ98" s="152"/>
    </row>
    <row r="99" spans="1:36" s="202" customFormat="1" ht="11.25">
      <c r="A99" s="151">
        <v>2</v>
      </c>
      <c r="B99" s="450" t="s">
        <v>341</v>
      </c>
      <c r="C99" s="450"/>
      <c r="D99" s="450"/>
      <c r="E99" s="450"/>
      <c r="F99" s="450"/>
      <c r="G99" s="450"/>
      <c r="H99" s="450"/>
      <c r="I99" s="450"/>
      <c r="J99" s="450"/>
      <c r="K99" s="450"/>
      <c r="L99" s="450"/>
      <c r="M99" s="450"/>
      <c r="N99" s="450"/>
      <c r="O99" s="450"/>
      <c r="P99" s="450"/>
      <c r="Q99" s="450"/>
      <c r="R99" s="450"/>
      <c r="S99" s="450"/>
      <c r="T99" s="450"/>
      <c r="U99" s="450"/>
      <c r="V99" s="450"/>
      <c r="W99" s="450"/>
      <c r="X99" s="450"/>
      <c r="Y99" s="450"/>
      <c r="Z99" s="450"/>
      <c r="AA99" s="450"/>
      <c r="AB99" s="450"/>
      <c r="AC99" s="450"/>
      <c r="AD99" s="450"/>
      <c r="AE99" s="450"/>
      <c r="AF99" s="450"/>
      <c r="AG99" s="450"/>
      <c r="AH99" s="450"/>
      <c r="AI99" s="451"/>
      <c r="AJ99" s="152"/>
    </row>
    <row r="100" spans="1:36" s="202" customFormat="1" ht="11.25" customHeight="1">
      <c r="A100" s="151">
        <v>3</v>
      </c>
      <c r="B100" s="450" t="s">
        <v>2</v>
      </c>
      <c r="C100" s="450"/>
      <c r="D100" s="450"/>
      <c r="E100" s="450"/>
      <c r="F100" s="450"/>
      <c r="G100" s="450"/>
      <c r="H100" s="450"/>
      <c r="I100" s="450"/>
      <c r="J100" s="450"/>
      <c r="K100" s="450"/>
      <c r="L100" s="450"/>
      <c r="M100" s="450"/>
      <c r="N100" s="450"/>
      <c r="O100" s="450"/>
      <c r="P100" s="450"/>
      <c r="Q100" s="450"/>
      <c r="R100" s="450"/>
      <c r="S100" s="450"/>
      <c r="T100" s="450"/>
      <c r="U100" s="450"/>
      <c r="V100" s="450"/>
      <c r="W100" s="450"/>
      <c r="X100" s="450"/>
      <c r="Y100" s="450"/>
      <c r="Z100" s="450"/>
      <c r="AA100" s="450"/>
      <c r="AB100" s="450"/>
      <c r="AC100" s="450"/>
      <c r="AD100" s="450"/>
      <c r="AE100" s="450"/>
      <c r="AF100" s="450"/>
      <c r="AG100" s="450"/>
      <c r="AH100" s="450"/>
      <c r="AI100" s="451"/>
      <c r="AJ100" s="152"/>
    </row>
    <row r="101" spans="1:36" s="202" customFormat="1" ht="11.25" customHeight="1">
      <c r="A101" s="151">
        <v>4</v>
      </c>
      <c r="B101" s="450" t="s">
        <v>277</v>
      </c>
      <c r="C101" s="450"/>
      <c r="D101" s="450"/>
      <c r="E101" s="450"/>
      <c r="F101" s="450"/>
      <c r="G101" s="450"/>
      <c r="H101" s="450"/>
      <c r="I101" s="450"/>
      <c r="J101" s="450"/>
      <c r="K101" s="450"/>
      <c r="L101" s="450"/>
      <c r="M101" s="450"/>
      <c r="N101" s="450"/>
      <c r="O101" s="450"/>
      <c r="P101" s="450"/>
      <c r="Q101" s="450"/>
      <c r="R101" s="450"/>
      <c r="S101" s="450"/>
      <c r="T101" s="450"/>
      <c r="U101" s="450"/>
      <c r="V101" s="450"/>
      <c r="W101" s="450"/>
      <c r="X101" s="450"/>
      <c r="Y101" s="450"/>
      <c r="Z101" s="450"/>
      <c r="AA101" s="450"/>
      <c r="AB101" s="450"/>
      <c r="AC101" s="450"/>
      <c r="AD101" s="450"/>
      <c r="AE101" s="450"/>
      <c r="AF101" s="450"/>
      <c r="AG101" s="450"/>
      <c r="AH101" s="450"/>
      <c r="AI101" s="451"/>
      <c r="AJ101" s="152"/>
    </row>
    <row r="102" spans="1:36" s="202" customFormat="1" ht="11.25" customHeight="1">
      <c r="A102" s="151"/>
      <c r="B102" s="450"/>
      <c r="C102" s="450"/>
      <c r="D102" s="450"/>
      <c r="E102" s="450"/>
      <c r="F102" s="450"/>
      <c r="G102" s="450"/>
      <c r="H102" s="450"/>
      <c r="I102" s="450"/>
      <c r="J102" s="450"/>
      <c r="K102" s="450"/>
      <c r="L102" s="450"/>
      <c r="M102" s="450"/>
      <c r="N102" s="450"/>
      <c r="O102" s="450"/>
      <c r="P102" s="450"/>
      <c r="Q102" s="450"/>
      <c r="R102" s="450"/>
      <c r="S102" s="450"/>
      <c r="T102" s="450"/>
      <c r="U102" s="450"/>
      <c r="V102" s="450"/>
      <c r="W102" s="450"/>
      <c r="X102" s="450"/>
      <c r="Y102" s="450"/>
      <c r="Z102" s="450"/>
      <c r="AA102" s="450"/>
      <c r="AB102" s="450"/>
      <c r="AC102" s="450"/>
      <c r="AD102" s="450"/>
      <c r="AE102" s="450"/>
      <c r="AF102" s="450"/>
      <c r="AG102" s="450"/>
      <c r="AH102" s="450"/>
      <c r="AI102" s="451"/>
      <c r="AJ102" s="152"/>
    </row>
    <row r="103" spans="1:36" s="202" customFormat="1" ht="11.25" customHeight="1">
      <c r="A103" s="151">
        <v>5</v>
      </c>
      <c r="B103" s="450" t="s">
        <v>3</v>
      </c>
      <c r="C103" s="450"/>
      <c r="D103" s="450"/>
      <c r="E103" s="450"/>
      <c r="F103" s="450"/>
      <c r="G103" s="450"/>
      <c r="H103" s="450"/>
      <c r="I103" s="450"/>
      <c r="J103" s="450"/>
      <c r="K103" s="450"/>
      <c r="L103" s="450"/>
      <c r="M103" s="450"/>
      <c r="N103" s="450"/>
      <c r="O103" s="450"/>
      <c r="P103" s="450"/>
      <c r="Q103" s="450"/>
      <c r="R103" s="450"/>
      <c r="S103" s="450"/>
      <c r="T103" s="450"/>
      <c r="U103" s="450"/>
      <c r="V103" s="450"/>
      <c r="W103" s="450"/>
      <c r="X103" s="450"/>
      <c r="Y103" s="450"/>
      <c r="Z103" s="450"/>
      <c r="AA103" s="450"/>
      <c r="AB103" s="450"/>
      <c r="AC103" s="450"/>
      <c r="AD103" s="450"/>
      <c r="AE103" s="450"/>
      <c r="AF103" s="450"/>
      <c r="AG103" s="450"/>
      <c r="AH103" s="450"/>
      <c r="AI103" s="451"/>
      <c r="AJ103" s="152"/>
    </row>
    <row r="104" spans="1:36" s="202" customFormat="1" ht="11.25" customHeight="1">
      <c r="A104" s="151"/>
      <c r="B104" s="450"/>
      <c r="C104" s="450"/>
      <c r="D104" s="450"/>
      <c r="E104" s="450"/>
      <c r="F104" s="450"/>
      <c r="G104" s="450"/>
      <c r="H104" s="450"/>
      <c r="I104" s="450"/>
      <c r="J104" s="450"/>
      <c r="K104" s="450"/>
      <c r="L104" s="450"/>
      <c r="M104" s="450"/>
      <c r="N104" s="450"/>
      <c r="O104" s="450"/>
      <c r="P104" s="450"/>
      <c r="Q104" s="450"/>
      <c r="R104" s="450"/>
      <c r="S104" s="450"/>
      <c r="T104" s="450"/>
      <c r="U104" s="450"/>
      <c r="V104" s="450"/>
      <c r="W104" s="450"/>
      <c r="X104" s="450"/>
      <c r="Y104" s="450"/>
      <c r="Z104" s="450"/>
      <c r="AA104" s="450"/>
      <c r="AB104" s="450"/>
      <c r="AC104" s="450"/>
      <c r="AD104" s="450"/>
      <c r="AE104" s="450"/>
      <c r="AF104" s="450"/>
      <c r="AG104" s="450"/>
      <c r="AH104" s="450"/>
      <c r="AI104" s="451"/>
      <c r="AJ104" s="152"/>
    </row>
    <row r="105" spans="1:36" s="202" customFormat="1" ht="11.25">
      <c r="A105" s="151">
        <v>6</v>
      </c>
      <c r="B105" s="450" t="s">
        <v>4</v>
      </c>
      <c r="C105" s="450"/>
      <c r="D105" s="450"/>
      <c r="E105" s="450"/>
      <c r="F105" s="450"/>
      <c r="G105" s="450"/>
      <c r="H105" s="450"/>
      <c r="I105" s="450"/>
      <c r="J105" s="450"/>
      <c r="K105" s="450"/>
      <c r="L105" s="450"/>
      <c r="M105" s="450"/>
      <c r="N105" s="450"/>
      <c r="O105" s="450"/>
      <c r="P105" s="450"/>
      <c r="Q105" s="450"/>
      <c r="R105" s="450"/>
      <c r="S105" s="450"/>
      <c r="T105" s="450"/>
      <c r="U105" s="450"/>
      <c r="V105" s="450"/>
      <c r="W105" s="450"/>
      <c r="X105" s="450"/>
      <c r="Y105" s="450"/>
      <c r="Z105" s="450"/>
      <c r="AA105" s="450"/>
      <c r="AB105" s="450"/>
      <c r="AC105" s="450"/>
      <c r="AD105" s="450"/>
      <c r="AE105" s="450"/>
      <c r="AF105" s="450"/>
      <c r="AG105" s="450"/>
      <c r="AH105" s="450"/>
      <c r="AI105" s="451"/>
      <c r="AJ105" s="152"/>
    </row>
    <row r="106" spans="1:36" s="202" customFormat="1" ht="11.25" customHeight="1">
      <c r="A106" s="151"/>
      <c r="B106" s="450"/>
      <c r="C106" s="450"/>
      <c r="D106" s="450"/>
      <c r="E106" s="450"/>
      <c r="F106" s="450"/>
      <c r="G106" s="450"/>
      <c r="H106" s="450"/>
      <c r="I106" s="450"/>
      <c r="J106" s="450"/>
      <c r="K106" s="450"/>
      <c r="L106" s="450"/>
      <c r="M106" s="450"/>
      <c r="N106" s="450"/>
      <c r="O106" s="450"/>
      <c r="P106" s="450"/>
      <c r="Q106" s="450"/>
      <c r="R106" s="450"/>
      <c r="S106" s="450"/>
      <c r="T106" s="450"/>
      <c r="U106" s="450"/>
      <c r="V106" s="450"/>
      <c r="W106" s="450"/>
      <c r="X106" s="450"/>
      <c r="Y106" s="450"/>
      <c r="Z106" s="450"/>
      <c r="AA106" s="450"/>
      <c r="AB106" s="450"/>
      <c r="AC106" s="450"/>
      <c r="AD106" s="450"/>
      <c r="AE106" s="450"/>
      <c r="AF106" s="450"/>
      <c r="AG106" s="450"/>
      <c r="AH106" s="450"/>
      <c r="AI106" s="451"/>
      <c r="AJ106" s="152"/>
    </row>
    <row r="107" spans="1:36" s="202" customFormat="1" ht="11.25">
      <c r="A107" s="151">
        <v>7</v>
      </c>
      <c r="B107" s="450" t="s">
        <v>1</v>
      </c>
      <c r="C107" s="450"/>
      <c r="D107" s="450"/>
      <c r="E107" s="450"/>
      <c r="F107" s="450"/>
      <c r="G107" s="450"/>
      <c r="H107" s="450"/>
      <c r="I107" s="450"/>
      <c r="J107" s="450"/>
      <c r="K107" s="450"/>
      <c r="L107" s="450"/>
      <c r="M107" s="450"/>
      <c r="N107" s="450"/>
      <c r="O107" s="450"/>
      <c r="P107" s="450"/>
      <c r="Q107" s="450"/>
      <c r="R107" s="450"/>
      <c r="S107" s="450"/>
      <c r="T107" s="450"/>
      <c r="U107" s="450"/>
      <c r="V107" s="450"/>
      <c r="W107" s="450"/>
      <c r="X107" s="450"/>
      <c r="Y107" s="450"/>
      <c r="Z107" s="450"/>
      <c r="AA107" s="450"/>
      <c r="AB107" s="450"/>
      <c r="AC107" s="450"/>
      <c r="AD107" s="450"/>
      <c r="AE107" s="450"/>
      <c r="AF107" s="450"/>
      <c r="AG107" s="450"/>
      <c r="AH107" s="450"/>
      <c r="AI107" s="451"/>
      <c r="AJ107" s="152"/>
    </row>
    <row r="108" spans="1:36" s="202" customFormat="1" ht="11.25" customHeight="1">
      <c r="A108" s="151">
        <v>8</v>
      </c>
      <c r="B108" s="450" t="s">
        <v>342</v>
      </c>
      <c r="C108" s="450"/>
      <c r="D108" s="450"/>
      <c r="E108" s="450"/>
      <c r="F108" s="450"/>
      <c r="G108" s="450"/>
      <c r="H108" s="450"/>
      <c r="I108" s="450"/>
      <c r="J108" s="450"/>
      <c r="K108" s="450"/>
      <c r="L108" s="450"/>
      <c r="M108" s="450"/>
      <c r="N108" s="450"/>
      <c r="O108" s="450"/>
      <c r="P108" s="450"/>
      <c r="Q108" s="450"/>
      <c r="R108" s="450"/>
      <c r="S108" s="450"/>
      <c r="T108" s="450"/>
      <c r="U108" s="450"/>
      <c r="V108" s="450"/>
      <c r="W108" s="450"/>
      <c r="X108" s="450"/>
      <c r="Y108" s="450"/>
      <c r="Z108" s="450"/>
      <c r="AA108" s="450"/>
      <c r="AB108" s="450"/>
      <c r="AC108" s="450"/>
      <c r="AD108" s="450"/>
      <c r="AE108" s="450"/>
      <c r="AF108" s="450"/>
      <c r="AG108" s="450"/>
      <c r="AH108" s="450"/>
      <c r="AI108" s="451"/>
      <c r="AJ108" s="152"/>
    </row>
    <row r="109" spans="1:36" s="202" customFormat="1" ht="11.25">
      <c r="A109" s="151">
        <v>9</v>
      </c>
      <c r="B109" s="450" t="s">
        <v>418</v>
      </c>
      <c r="C109" s="450"/>
      <c r="D109" s="450"/>
      <c r="E109" s="450"/>
      <c r="F109" s="450"/>
      <c r="G109" s="450"/>
      <c r="H109" s="450"/>
      <c r="I109" s="450"/>
      <c r="J109" s="450"/>
      <c r="K109" s="450"/>
      <c r="L109" s="450"/>
      <c r="M109" s="450"/>
      <c r="N109" s="450"/>
      <c r="O109" s="450"/>
      <c r="P109" s="450"/>
      <c r="Q109" s="450"/>
      <c r="R109" s="450"/>
      <c r="S109" s="450"/>
      <c r="T109" s="450"/>
      <c r="U109" s="450"/>
      <c r="V109" s="450"/>
      <c r="W109" s="450"/>
      <c r="X109" s="450"/>
      <c r="Y109" s="450"/>
      <c r="Z109" s="450"/>
      <c r="AA109" s="450"/>
      <c r="AB109" s="450"/>
      <c r="AC109" s="450"/>
      <c r="AD109" s="450"/>
      <c r="AE109" s="450"/>
      <c r="AF109" s="450"/>
      <c r="AG109" s="450"/>
      <c r="AH109" s="450"/>
      <c r="AI109" s="451"/>
      <c r="AJ109" s="152"/>
    </row>
    <row r="110" spans="1:36" s="202" customFormat="1" ht="11.25" customHeight="1">
      <c r="A110" s="151"/>
      <c r="B110" s="450"/>
      <c r="C110" s="450"/>
      <c r="D110" s="450"/>
      <c r="E110" s="450"/>
      <c r="F110" s="450"/>
      <c r="G110" s="450"/>
      <c r="H110" s="450"/>
      <c r="I110" s="450"/>
      <c r="J110" s="450"/>
      <c r="K110" s="450"/>
      <c r="L110" s="450"/>
      <c r="M110" s="450"/>
      <c r="N110" s="450"/>
      <c r="O110" s="450"/>
      <c r="P110" s="450"/>
      <c r="Q110" s="450"/>
      <c r="R110" s="450"/>
      <c r="S110" s="450"/>
      <c r="T110" s="450"/>
      <c r="U110" s="450"/>
      <c r="V110" s="450"/>
      <c r="W110" s="450"/>
      <c r="X110" s="450"/>
      <c r="Y110" s="450"/>
      <c r="Z110" s="450"/>
      <c r="AA110" s="450"/>
      <c r="AB110" s="450"/>
      <c r="AC110" s="450"/>
      <c r="AD110" s="450"/>
      <c r="AE110" s="450"/>
      <c r="AF110" s="450"/>
      <c r="AG110" s="450"/>
      <c r="AH110" s="450"/>
      <c r="AI110" s="451"/>
      <c r="AJ110" s="152"/>
    </row>
    <row r="111" spans="1:36" s="202" customFormat="1" ht="3" customHeight="1">
      <c r="A111" s="151"/>
      <c r="B111" s="450"/>
      <c r="C111" s="450"/>
      <c r="D111" s="450"/>
      <c r="E111" s="450"/>
      <c r="F111" s="450"/>
      <c r="G111" s="450"/>
      <c r="H111" s="450"/>
      <c r="I111" s="450"/>
      <c r="J111" s="450"/>
      <c r="K111" s="450"/>
      <c r="L111" s="450"/>
      <c r="M111" s="450"/>
      <c r="N111" s="450"/>
      <c r="O111" s="450"/>
      <c r="P111" s="450"/>
      <c r="Q111" s="450"/>
      <c r="R111" s="450"/>
      <c r="S111" s="450"/>
      <c r="T111" s="450"/>
      <c r="U111" s="450"/>
      <c r="V111" s="450"/>
      <c r="W111" s="450"/>
      <c r="X111" s="450"/>
      <c r="Y111" s="450"/>
      <c r="Z111" s="450"/>
      <c r="AA111" s="450"/>
      <c r="AB111" s="450"/>
      <c r="AC111" s="450"/>
      <c r="AD111" s="450"/>
      <c r="AE111" s="450"/>
      <c r="AF111" s="450"/>
      <c r="AG111" s="450"/>
      <c r="AH111" s="450"/>
      <c r="AI111" s="451"/>
      <c r="AJ111" s="152"/>
    </row>
    <row r="112" spans="1:36" s="202" customFormat="1" ht="11.25" customHeight="1" thickBot="1">
      <c r="A112" s="153"/>
      <c r="B112" s="765"/>
      <c r="C112" s="765"/>
      <c r="D112" s="765"/>
      <c r="E112" s="765"/>
      <c r="F112" s="765"/>
      <c r="G112" s="765"/>
      <c r="H112" s="765"/>
      <c r="I112" s="765"/>
      <c r="J112" s="765"/>
      <c r="K112" s="765"/>
      <c r="L112" s="765"/>
      <c r="M112" s="765"/>
      <c r="N112" s="765"/>
      <c r="O112" s="765"/>
      <c r="P112" s="765"/>
      <c r="Q112" s="765"/>
      <c r="R112" s="765"/>
      <c r="S112" s="765"/>
      <c r="T112" s="765"/>
      <c r="U112" s="765"/>
      <c r="V112" s="765"/>
      <c r="W112" s="765"/>
      <c r="X112" s="765"/>
      <c r="Y112" s="765"/>
      <c r="Z112" s="765"/>
      <c r="AA112" s="765"/>
      <c r="AB112" s="765"/>
      <c r="AC112" s="765"/>
      <c r="AD112" s="765"/>
      <c r="AE112" s="765"/>
      <c r="AF112" s="765"/>
      <c r="AG112" s="765"/>
      <c r="AH112" s="765"/>
      <c r="AI112" s="766"/>
      <c r="AJ112" s="152"/>
    </row>
    <row r="113" spans="1:36" s="202" customFormat="1">
      <c r="A113" s="143"/>
      <c r="B113" s="143"/>
      <c r="C113" s="143"/>
      <c r="D113" s="143"/>
      <c r="E113" s="143"/>
      <c r="F113" s="143"/>
      <c r="G113" s="143"/>
      <c r="H113" s="143"/>
      <c r="I113" s="143"/>
      <c r="J113" s="143"/>
      <c r="K113" s="143"/>
      <c r="L113" s="143"/>
      <c r="M113" s="143"/>
      <c r="N113" s="143"/>
      <c r="O113" s="143"/>
      <c r="P113" s="143"/>
      <c r="Q113" s="143"/>
      <c r="R113" s="143"/>
      <c r="S113" s="143"/>
      <c r="T113" s="143"/>
      <c r="U113" s="143"/>
      <c r="V113" s="143"/>
      <c r="W113" s="143"/>
      <c r="X113" s="143"/>
      <c r="Y113" s="143"/>
      <c r="Z113" s="143"/>
      <c r="AA113" s="143"/>
      <c r="AB113" s="143"/>
      <c r="AC113" s="143"/>
      <c r="AD113" s="143"/>
      <c r="AE113" s="143"/>
      <c r="AF113" s="143"/>
      <c r="AG113" s="143"/>
      <c r="AH113" s="143"/>
      <c r="AI113" s="143"/>
      <c r="AJ113" s="152"/>
    </row>
    <row r="114" spans="1:36">
      <c r="AJ114" s="143"/>
    </row>
  </sheetData>
  <sheetProtection algorithmName="SHA-512" hashValue="ErnbdX9OIe0uEPaGYRPyfOBYka43b8rCHqLU6oaCk3DYIzxsscwYrpGwBOEdyAbDYUmQOnruekFFAB7H82USfQ==" saltValue="OGqi8m7qXO4Sk+4vczvkbg==" spinCount="100000" sheet="1" formatCells="0"/>
  <mergeCells count="229">
    <mergeCell ref="A57:D58"/>
    <mergeCell ref="P57:S58"/>
    <mergeCell ref="T57:AI58"/>
    <mergeCell ref="B112:AI112"/>
    <mergeCell ref="AB1:AD1"/>
    <mergeCell ref="AE1:AG1"/>
    <mergeCell ref="AH1:AJ1"/>
    <mergeCell ref="AB2:AD4"/>
    <mergeCell ref="AE2:AG4"/>
    <mergeCell ref="AH2:AJ4"/>
    <mergeCell ref="N63:S63"/>
    <mergeCell ref="H62:M62"/>
    <mergeCell ref="H63:M63"/>
    <mergeCell ref="E44:AI44"/>
    <mergeCell ref="E45:G45"/>
    <mergeCell ref="E46:G46"/>
    <mergeCell ref="T45:Y45"/>
    <mergeCell ref="T46:Y46"/>
    <mergeCell ref="T47:Y47"/>
    <mergeCell ref="T48:Y48"/>
    <mergeCell ref="AC45:AI45"/>
    <mergeCell ref="AC46:AI46"/>
    <mergeCell ref="AC47:AI47"/>
    <mergeCell ref="AC48:AI48"/>
    <mergeCell ref="A62:G63"/>
    <mergeCell ref="G19:S19"/>
    <mergeCell ref="E21:AI21"/>
    <mergeCell ref="A17:D21"/>
    <mergeCell ref="A22:D23"/>
    <mergeCell ref="V18:AI18"/>
    <mergeCell ref="G20:S20"/>
    <mergeCell ref="F22:AI22"/>
    <mergeCell ref="G17:S17"/>
    <mergeCell ref="V17:AI17"/>
    <mergeCell ref="W26:AI26"/>
    <mergeCell ref="A34:B41"/>
    <mergeCell ref="C36:D41"/>
    <mergeCell ref="C34:D35"/>
    <mergeCell ref="E36:AI36"/>
    <mergeCell ref="H28:S28"/>
    <mergeCell ref="Z63:AI63"/>
    <mergeCell ref="G34:L34"/>
    <mergeCell ref="N34:S34"/>
    <mergeCell ref="U34:Z34"/>
    <mergeCell ref="Z61:AI61"/>
    <mergeCell ref="T62:Y62"/>
    <mergeCell ref="N62:S62"/>
    <mergeCell ref="Y55:AI56"/>
    <mergeCell ref="Z64:AI64"/>
    <mergeCell ref="Z65:AI65"/>
    <mergeCell ref="T63:Y63"/>
    <mergeCell ref="A24:D25"/>
    <mergeCell ref="E24:G25"/>
    <mergeCell ref="T24:V25"/>
    <mergeCell ref="H24:S24"/>
    <mergeCell ref="W24:AI24"/>
    <mergeCell ref="H25:S25"/>
    <mergeCell ref="W25:AI25"/>
    <mergeCell ref="H26:S26"/>
    <mergeCell ref="T26:V27"/>
    <mergeCell ref="H27:S27"/>
    <mergeCell ref="E28:G28"/>
    <mergeCell ref="T28:V28"/>
    <mergeCell ref="W30:Z30"/>
    <mergeCell ref="AA30:AI30"/>
    <mergeCell ref="W28:AI28"/>
    <mergeCell ref="W27:AI27"/>
    <mergeCell ref="E26:G26"/>
    <mergeCell ref="E37:AI41"/>
    <mergeCell ref="Y49:AI50"/>
    <mergeCell ref="A26:D28"/>
    <mergeCell ref="H64:M65"/>
    <mergeCell ref="A96:AI96"/>
    <mergeCell ref="B100:AI100"/>
    <mergeCell ref="Z67:AI67"/>
    <mergeCell ref="Z68:AI68"/>
    <mergeCell ref="A66:G67"/>
    <mergeCell ref="H66:M67"/>
    <mergeCell ref="N66:S67"/>
    <mergeCell ref="T66:Y67"/>
    <mergeCell ref="A68:G69"/>
    <mergeCell ref="H68:M69"/>
    <mergeCell ref="N68:S69"/>
    <mergeCell ref="T68:Y69"/>
    <mergeCell ref="A70:G71"/>
    <mergeCell ref="H70:M71"/>
    <mergeCell ref="N70:S71"/>
    <mergeCell ref="T70:Y71"/>
    <mergeCell ref="A74:G75"/>
    <mergeCell ref="H74:M74"/>
    <mergeCell ref="N74:S74"/>
    <mergeCell ref="T74:Y74"/>
    <mergeCell ref="H75:M75"/>
    <mergeCell ref="N75:S75"/>
    <mergeCell ref="T75:Y75"/>
    <mergeCell ref="H76:M76"/>
    <mergeCell ref="N64:S65"/>
    <mergeCell ref="T64:Y65"/>
    <mergeCell ref="A64:G65"/>
    <mergeCell ref="A6:AI6"/>
    <mergeCell ref="B97:AI98"/>
    <mergeCell ref="A33:D33"/>
    <mergeCell ref="E33:AI33"/>
    <mergeCell ref="G35:L35"/>
    <mergeCell ref="N35:S35"/>
    <mergeCell ref="AB34:AI34"/>
    <mergeCell ref="AB35:AI35"/>
    <mergeCell ref="U35:Z35"/>
    <mergeCell ref="A16:D16"/>
    <mergeCell ref="E16:AI16"/>
    <mergeCell ref="E49:I50"/>
    <mergeCell ref="J49:S50"/>
    <mergeCell ref="T49:X50"/>
    <mergeCell ref="E47:G47"/>
    <mergeCell ref="H45:J48"/>
    <mergeCell ref="K45:P45"/>
    <mergeCell ref="K46:P46"/>
    <mergeCell ref="K47:P47"/>
    <mergeCell ref="K48:P48"/>
    <mergeCell ref="Q45:S48"/>
    <mergeCell ref="B99:AI99"/>
    <mergeCell ref="A84:AI84"/>
    <mergeCell ref="B103:AI104"/>
    <mergeCell ref="E23:AI23"/>
    <mergeCell ref="V19:AI19"/>
    <mergeCell ref="G18:S18"/>
    <mergeCell ref="B105:AI106"/>
    <mergeCell ref="B107:AI107"/>
    <mergeCell ref="E27:G27"/>
    <mergeCell ref="A29:D30"/>
    <mergeCell ref="E29:S30"/>
    <mergeCell ref="T29:V30"/>
    <mergeCell ref="W29:AI29"/>
    <mergeCell ref="A42:D43"/>
    <mergeCell ref="E42:M43"/>
    <mergeCell ref="N42:R42"/>
    <mergeCell ref="N43:AI43"/>
    <mergeCell ref="S42:Z42"/>
    <mergeCell ref="AA42:AI42"/>
    <mergeCell ref="A49:D50"/>
    <mergeCell ref="Z45:AB48"/>
    <mergeCell ref="T55:X56"/>
    <mergeCell ref="A44:D48"/>
    <mergeCell ref="E48:G48"/>
    <mergeCell ref="J57:O57"/>
    <mergeCell ref="J58:O58"/>
    <mergeCell ref="B108:AI108"/>
    <mergeCell ref="T51:X51"/>
    <mergeCell ref="T52:X52"/>
    <mergeCell ref="A13:AI13"/>
    <mergeCell ref="L91:AI91"/>
    <mergeCell ref="A86:AI87"/>
    <mergeCell ref="A51:D52"/>
    <mergeCell ref="A53:D56"/>
    <mergeCell ref="Z66:AI66"/>
    <mergeCell ref="E51:I52"/>
    <mergeCell ref="E53:I54"/>
    <mergeCell ref="E55:I56"/>
    <mergeCell ref="J51:S52"/>
    <mergeCell ref="J53:S54"/>
    <mergeCell ref="J55:S56"/>
    <mergeCell ref="E57:I57"/>
    <mergeCell ref="E58:I58"/>
    <mergeCell ref="Y51:AI51"/>
    <mergeCell ref="Y52:AI52"/>
    <mergeCell ref="T53:X54"/>
    <mergeCell ref="Y53:AI54"/>
    <mergeCell ref="Z62:AI62"/>
    <mergeCell ref="N76:S76"/>
    <mergeCell ref="A76:G77"/>
    <mergeCell ref="T76:Y76"/>
    <mergeCell ref="H77:I77"/>
    <mergeCell ref="J77:M77"/>
    <mergeCell ref="H79:I79"/>
    <mergeCell ref="J79:M79"/>
    <mergeCell ref="H81:I81"/>
    <mergeCell ref="J81:M81"/>
    <mergeCell ref="A78:G79"/>
    <mergeCell ref="A80:G81"/>
    <mergeCell ref="H78:M78"/>
    <mergeCell ref="H80:M80"/>
    <mergeCell ref="T79:U79"/>
    <mergeCell ref="V77:Y77"/>
    <mergeCell ref="Z69:AI69"/>
    <mergeCell ref="Z70:AI70"/>
    <mergeCell ref="Z71:AI71"/>
    <mergeCell ref="Z73:AI73"/>
    <mergeCell ref="Z76:AI76"/>
    <mergeCell ref="Z74:AI75"/>
    <mergeCell ref="Z77:AB77"/>
    <mergeCell ref="AC77:AI77"/>
    <mergeCell ref="Z79:AB79"/>
    <mergeCell ref="AC79:AI79"/>
    <mergeCell ref="AC81:AI81"/>
    <mergeCell ref="T78:Y78"/>
    <mergeCell ref="P81:S81"/>
    <mergeCell ref="N78:S78"/>
    <mergeCell ref="N80:S80"/>
    <mergeCell ref="V81:Y81"/>
    <mergeCell ref="T83:U83"/>
    <mergeCell ref="V83:Y83"/>
    <mergeCell ref="Z78:AI78"/>
    <mergeCell ref="Z80:AI80"/>
    <mergeCell ref="V79:Y79"/>
    <mergeCell ref="T81:U81"/>
    <mergeCell ref="B109:AI111"/>
    <mergeCell ref="B101:AI102"/>
    <mergeCell ref="A82:G83"/>
    <mergeCell ref="H82:M82"/>
    <mergeCell ref="A7:AI7"/>
    <mergeCell ref="A11:AI12"/>
    <mergeCell ref="A91:I91"/>
    <mergeCell ref="H83:I83"/>
    <mergeCell ref="J83:M83"/>
    <mergeCell ref="N79:O79"/>
    <mergeCell ref="P79:S79"/>
    <mergeCell ref="N81:O81"/>
    <mergeCell ref="N82:S82"/>
    <mergeCell ref="T80:Y80"/>
    <mergeCell ref="T82:Y82"/>
    <mergeCell ref="N83:O83"/>
    <mergeCell ref="P83:S83"/>
    <mergeCell ref="Z83:AB83"/>
    <mergeCell ref="AC83:AI83"/>
    <mergeCell ref="Z82:AI82"/>
    <mergeCell ref="N77:O77"/>
    <mergeCell ref="P77:S77"/>
    <mergeCell ref="T77:U77"/>
    <mergeCell ref="Z81:AB81"/>
  </mergeCells>
  <phoneticPr fontId="4"/>
  <conditionalFormatting sqref="N42:AI43">
    <cfRule type="expression" dxfId="34" priority="117">
      <formula>OR($E$42="",$E$42="　　　　　",$E$42="無料")</formula>
    </cfRule>
  </conditionalFormatting>
  <conditionalFormatting sqref="P57 T57 E58 J58">
    <cfRule type="expression" dxfId="33" priority="53">
      <formula>AND(OR($J$57="　　　　　",$J$57="",$J$57="否"),OR(#REF!="　　　　　",#REF!="",#REF!="否"))</formula>
    </cfRule>
  </conditionalFormatting>
  <conditionalFormatting sqref="T29:AI30">
    <cfRule type="expression" dxfId="32" priority="1">
      <formula>OR($E$29="（支払方法選択）",$E$29="学内振替")</formula>
    </cfRule>
    <cfRule type="expression" dxfId="31" priority="118">
      <formula>OR($E$29="（支払方法選択）",$E$29="本学が指定する銀行口座への振込")</formula>
    </cfRule>
    <cfRule type="expression" dxfId="30" priority="121">
      <formula>OR($AM$17=0,$AM$17=2,$AM$17=3,,$AM$17=5,$AM$17=6,$AM$17=7)</formula>
    </cfRule>
  </conditionalFormatting>
  <conditionalFormatting sqref="T51:AI52">
    <cfRule type="expression" dxfId="29" priority="55">
      <formula>OR($J$51="",$J$51="　　　　　",$J$51="無")</formula>
    </cfRule>
  </conditionalFormatting>
  <conditionalFormatting sqref="W30:AI30">
    <cfRule type="expression" dxfId="28" priority="2">
      <formula>OR($W$29="本部経費")</formula>
    </cfRule>
  </conditionalFormatting>
  <conditionalFormatting sqref="Z64:AI65">
    <cfRule type="expression" dxfId="27" priority="14">
      <formula>$H$64=""</formula>
    </cfRule>
  </conditionalFormatting>
  <conditionalFormatting sqref="Z66:AI67">
    <cfRule type="expression" dxfId="26" priority="13">
      <formula>$H$66=""</formula>
    </cfRule>
  </conditionalFormatting>
  <conditionalFormatting sqref="Z68:AI69">
    <cfRule type="expression" dxfId="25" priority="12">
      <formula>$H$68=""</formula>
    </cfRule>
  </conditionalFormatting>
  <conditionalFormatting sqref="Z70:AI71">
    <cfRule type="expression" dxfId="24" priority="115">
      <formula>$H$70=""</formula>
    </cfRule>
  </conditionalFormatting>
  <conditionalFormatting sqref="Z76:AI76">
    <cfRule type="expression" dxfId="23" priority="11">
      <formula>OR($H$76="（会議室選択）",$H$76="")</formula>
    </cfRule>
  </conditionalFormatting>
  <conditionalFormatting sqref="Z77:AI77">
    <cfRule type="expression" dxfId="22" priority="6">
      <formula>$AL$78=FALSE</formula>
    </cfRule>
  </conditionalFormatting>
  <conditionalFormatting sqref="Z78:AI78">
    <cfRule type="expression" dxfId="21" priority="7">
      <formula>OR($H$78="（会議室選択）",$H$78="")</formula>
    </cfRule>
  </conditionalFormatting>
  <conditionalFormatting sqref="Z79:AI79">
    <cfRule type="expression" dxfId="20" priority="5">
      <formula>$AL$80=FALSE</formula>
    </cfRule>
  </conditionalFormatting>
  <conditionalFormatting sqref="Z80:AI80">
    <cfRule type="expression" dxfId="19" priority="9">
      <formula>OR($H$80="",$H$80="（会議室選択）")</formula>
    </cfRule>
  </conditionalFormatting>
  <conditionalFormatting sqref="Z81:AI81">
    <cfRule type="expression" dxfId="18" priority="4">
      <formula>$AL$82=FALSE</formula>
    </cfRule>
  </conditionalFormatting>
  <conditionalFormatting sqref="Z82:AI82">
    <cfRule type="expression" dxfId="17" priority="8">
      <formula>OR($H$82="",$H$82="（会議室選択）")</formula>
    </cfRule>
  </conditionalFormatting>
  <conditionalFormatting sqref="Z83:AI83">
    <cfRule type="expression" dxfId="16" priority="3">
      <formula>$AL$84=FALSE</formula>
    </cfRule>
  </conditionalFormatting>
  <dataValidations disablePrompts="1" count="17">
    <dataValidation type="list" allowBlank="1" showInputMessage="1" showErrorMessage="1" sqref="W29:AI29" xr:uid="{00000000-0002-0000-0000-000000000000}">
      <formula1>"本部経費,部局振替,科研費"</formula1>
    </dataValidation>
    <dataValidation type="list" allowBlank="1" showInputMessage="1" prompt="入場料のほか、会費等ほかの名目によるものも含め主催者が徴収する一切の費用をいいます。" sqref="E42:M43" xr:uid="{00000000-0002-0000-0000-000001000000}">
      <formula1>"無料,有料"</formula1>
    </dataValidation>
    <dataValidation type="list" allowBlank="1" showInputMessage="1" showErrorMessage="1" sqref="H64:Y71" xr:uid="{00000000-0002-0000-0000-000002000000}">
      <formula1>"準備,リハーサル,リハーサル/本番,準備/本番,本番,本番/準備,本番/撤収,撤収"</formula1>
    </dataValidation>
    <dataValidation type="list" allowBlank="1" showInputMessage="1" showErrorMessage="1" sqref="H78:Y78 H80:Y80 H82:Y82 H76:Y76" xr:uid="{00000000-0002-0000-0000-000003000000}">
      <formula1>"（会議室選択）,会議室１,会議室２,会議室３,会議室１・２,会議室１・３,会議室２・３,会議室１・２・３"</formula1>
    </dataValidation>
    <dataValidation type="list" allowBlank="1" showInputMessage="1" showErrorMessage="1" sqref="Y53:AI56 J51:S56" xr:uid="{00000000-0002-0000-0000-000004000000}">
      <formula1>"有,無,未定"</formula1>
    </dataValidation>
    <dataValidation type="list" allowBlank="1" showInputMessage="1" showErrorMessage="1" sqref="J57" xr:uid="{00000000-0002-0000-0000-000005000000}">
      <formula1>"可,一部可,否"</formula1>
    </dataValidation>
    <dataValidation type="list" allowBlank="1" showInputMessage="1" showErrorMessage="1" sqref="Z64:AI64 Z66:AI66 Z68:AI68 Z70:AI70 Z76:AI76 Z78:AI78 Z80:AI80 Z82:AI82" xr:uid="{00000000-0002-0000-0000-000007000000}">
      <formula1>"（使用時間選択・午前使用の施設に適用）,7:30～9:30,8:00～9:30,8:30～9:30,"</formula1>
    </dataValidation>
    <dataValidation imeMode="halfAlpha" allowBlank="1" showInputMessage="1" showErrorMessage="1" sqref="F22:AI22 AB2:AD4 AH2:AJ4 S42:Z42 H28:S28 W28:AI28 J49:S50 Y49:AI50" xr:uid="{00000000-0002-0000-0000-000008000000}"/>
    <dataValidation imeMode="fullKatakana" allowBlank="1" showInputMessage="1" showErrorMessage="1" sqref="H26:S26" xr:uid="{00000000-0002-0000-0000-000009000000}"/>
    <dataValidation imeMode="on" allowBlank="1" showInputMessage="1" showErrorMessage="1" sqref="H27:S27 E23:AI23" xr:uid="{00000000-0002-0000-0000-00000A000000}"/>
    <dataValidation imeMode="hiragana" allowBlank="1" showInputMessage="1" showErrorMessage="1" sqref="AE2:AG4" xr:uid="{881C57C9-093E-4031-8832-722A00112A8C}"/>
    <dataValidation type="list" allowBlank="1" sqref="E29:S30" xr:uid="{27536DE2-3EEA-441A-87F6-DD1C193F60ED}">
      <formula1>"（支払方法選択）,本学が指定する銀行口座への振込,学内振替"</formula1>
    </dataValidation>
    <dataValidation type="time" errorStyle="warning" imeMode="halfAlpha" allowBlank="1" showInputMessage="1" showErrorMessage="1" error="24時間表記半角で入力してください。" promptTitle="来場者について記載" prompt="【開場】ご来場者様が会場に入場可能となる時刻_x000a_【開始】本番開始時刻_x000a_【退館完了】ご来場者様が退館される予想時刻_x000a_※本番のない日程は記載不要_x000a_※半角24時間表記" sqref="K45:P48 T45:Y48 AC45:AI48" xr:uid="{FFCC2D2E-6A92-404D-95A4-03B11C968D81}">
      <formula1>0</formula1>
      <formula2>0.999305555555556</formula2>
    </dataValidation>
    <dataValidation type="date" imeMode="halfAlpha" operator="greaterThan" allowBlank="1" showInputMessage="1" sqref="J58" xr:uid="{74B6481B-ED8F-4C82-9AD8-17E262F29815}">
      <formula1>44652</formula1>
    </dataValidation>
    <dataValidation type="date" errorStyle="warning" imeMode="halfAlpha" operator="greaterThan" allowBlank="1" showInputMessage="1" showErrorMessage="1" error="西暦/月/日（半角）で入力してください。" sqref="A66:G71 A78:G83" xr:uid="{95EDAEA4-46CC-43B6-8A7E-EB22DEE466E0}">
      <formula1>44652</formula1>
    </dataValidation>
    <dataValidation type="list" allowBlank="1" showInputMessage="1" showErrorMessage="1" prompt="使用区分は午前の使用内容に準じてください" sqref="Z65:AI65 Z67:AI67 Z69:AI69 Z71:AI71" xr:uid="{D35E72F4-BDBB-461C-B4D7-77BF6504519F}">
      <formula1>"準備,リハーサル,リハーサル/本番,準備/本番,本番,本番/準備,本番/撤収,撤収"</formula1>
    </dataValidation>
    <dataValidation type="date" errorStyle="warning" imeMode="halfAlpha" operator="greaterThan" allowBlank="1" showInputMessage="1" showErrorMessage="1" error="西暦/月/日（半角）で入力してください。" prompt="西暦/月/日（半角）で入力してください。" sqref="A64:G65 A76:G77" xr:uid="{9901BAAF-4F10-4DD0-8EEB-C6B39CFF55A0}">
      <formula1>44652</formula1>
    </dataValidation>
  </dataValidations>
  <pageMargins left="0.59055118110236227" right="0.39370078740157483" top="0.35433070866141736" bottom="0.35433070866141736" header="0.31496062992125984" footer="0.31496062992125984"/>
  <pageSetup paperSize="9" scale="97" orientation="portrait" blackAndWhite="1" r:id="rId1"/>
  <rowBreaks count="1" manualBreakCount="1">
    <brk id="60" max="35" man="1"/>
  </rowBreaks>
  <ignoredErrors>
    <ignoredError sqref="U17 F17:F20 U18:U1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4</xdr:col>
                    <xdr:colOff>0</xdr:colOff>
                    <xdr:row>16</xdr:row>
                    <xdr:rowOff>0</xdr:rowOff>
                  </from>
                  <to>
                    <xdr:col>5</xdr:col>
                    <xdr:colOff>104775</xdr:colOff>
                    <xdr:row>17</xdr:row>
                    <xdr:rowOff>28575</xdr:rowOff>
                  </to>
                </anchor>
              </controlPr>
            </control>
          </mc:Choice>
        </mc:AlternateContent>
        <mc:AlternateContent xmlns:mc="http://schemas.openxmlformats.org/markup-compatibility/2006">
          <mc:Choice Requires="x14">
            <control shapeId="4102" r:id="rId5" name="Option Button 6">
              <controlPr defaultSize="0" autoFill="0" autoLine="0" autoPict="0">
                <anchor moveWithCells="1">
                  <from>
                    <xdr:col>19</xdr:col>
                    <xdr:colOff>0</xdr:colOff>
                    <xdr:row>16</xdr:row>
                    <xdr:rowOff>0</xdr:rowOff>
                  </from>
                  <to>
                    <xdr:col>20</xdr:col>
                    <xdr:colOff>104775</xdr:colOff>
                    <xdr:row>17</xdr:row>
                    <xdr:rowOff>28575</xdr:rowOff>
                  </to>
                </anchor>
              </controlPr>
            </control>
          </mc:Choice>
        </mc:AlternateContent>
        <mc:AlternateContent xmlns:mc="http://schemas.openxmlformats.org/markup-compatibility/2006">
          <mc:Choice Requires="x14">
            <control shapeId="4103" r:id="rId6" name="Option Button 7">
              <controlPr defaultSize="0" autoFill="0" autoLine="0" autoPict="0">
                <anchor moveWithCells="1">
                  <from>
                    <xdr:col>4</xdr:col>
                    <xdr:colOff>0</xdr:colOff>
                    <xdr:row>17</xdr:row>
                    <xdr:rowOff>0</xdr:rowOff>
                  </from>
                  <to>
                    <xdr:col>5</xdr:col>
                    <xdr:colOff>104775</xdr:colOff>
                    <xdr:row>18</xdr:row>
                    <xdr:rowOff>38100</xdr:rowOff>
                  </to>
                </anchor>
              </controlPr>
            </control>
          </mc:Choice>
        </mc:AlternateContent>
        <mc:AlternateContent xmlns:mc="http://schemas.openxmlformats.org/markup-compatibility/2006">
          <mc:Choice Requires="x14">
            <control shapeId="4105" r:id="rId7" name="Option Button 9">
              <controlPr defaultSize="0" autoFill="0" autoLine="0" autoPict="0">
                <anchor moveWithCells="1">
                  <from>
                    <xdr:col>19</xdr:col>
                    <xdr:colOff>0</xdr:colOff>
                    <xdr:row>17</xdr:row>
                    <xdr:rowOff>0</xdr:rowOff>
                  </from>
                  <to>
                    <xdr:col>20</xdr:col>
                    <xdr:colOff>104775</xdr:colOff>
                    <xdr:row>18</xdr:row>
                    <xdr:rowOff>38100</xdr:rowOff>
                  </to>
                </anchor>
              </controlPr>
            </control>
          </mc:Choice>
        </mc:AlternateContent>
        <mc:AlternateContent xmlns:mc="http://schemas.openxmlformats.org/markup-compatibility/2006">
          <mc:Choice Requires="x14">
            <control shapeId="4106" r:id="rId8" name="Option Button 10">
              <controlPr defaultSize="0" autoFill="0" autoLine="0" autoPict="0">
                <anchor moveWithCells="1">
                  <from>
                    <xdr:col>4</xdr:col>
                    <xdr:colOff>0</xdr:colOff>
                    <xdr:row>18</xdr:row>
                    <xdr:rowOff>0</xdr:rowOff>
                  </from>
                  <to>
                    <xdr:col>5</xdr:col>
                    <xdr:colOff>104775</xdr:colOff>
                    <xdr:row>19</xdr:row>
                    <xdr:rowOff>38100</xdr:rowOff>
                  </to>
                </anchor>
              </controlPr>
            </control>
          </mc:Choice>
        </mc:AlternateContent>
        <mc:AlternateContent xmlns:mc="http://schemas.openxmlformats.org/markup-compatibility/2006">
          <mc:Choice Requires="x14">
            <control shapeId="4107" r:id="rId9" name="Option Button 11">
              <controlPr defaultSize="0" autoFill="0" autoLine="0" autoPict="0">
                <anchor moveWithCells="1">
                  <from>
                    <xdr:col>19</xdr:col>
                    <xdr:colOff>0</xdr:colOff>
                    <xdr:row>18</xdr:row>
                    <xdr:rowOff>0</xdr:rowOff>
                  </from>
                  <to>
                    <xdr:col>20</xdr:col>
                    <xdr:colOff>104775</xdr:colOff>
                    <xdr:row>19</xdr:row>
                    <xdr:rowOff>38100</xdr:rowOff>
                  </to>
                </anchor>
              </controlPr>
            </control>
          </mc:Choice>
        </mc:AlternateContent>
        <mc:AlternateContent xmlns:mc="http://schemas.openxmlformats.org/markup-compatibility/2006">
          <mc:Choice Requires="x14">
            <control shapeId="4108" r:id="rId10" name="Option Button 12">
              <controlPr defaultSize="0" autoFill="0" autoLine="0" autoPict="0">
                <anchor moveWithCells="1">
                  <from>
                    <xdr:col>4</xdr:col>
                    <xdr:colOff>0</xdr:colOff>
                    <xdr:row>19</xdr:row>
                    <xdr:rowOff>0</xdr:rowOff>
                  </from>
                  <to>
                    <xdr:col>5</xdr:col>
                    <xdr:colOff>104775</xdr:colOff>
                    <xdr:row>20</xdr:row>
                    <xdr:rowOff>38100</xdr:rowOff>
                  </to>
                </anchor>
              </controlPr>
            </control>
          </mc:Choice>
        </mc:AlternateContent>
        <mc:AlternateContent xmlns:mc="http://schemas.openxmlformats.org/markup-compatibility/2006">
          <mc:Choice Requires="x14">
            <control shapeId="4132" r:id="rId11" name="Group Box 36">
              <controlPr defaultSize="0" print="0" autoFill="0" autoPict="0">
                <anchor moveWithCells="1">
                  <from>
                    <xdr:col>4</xdr:col>
                    <xdr:colOff>0</xdr:colOff>
                    <xdr:row>16</xdr:row>
                    <xdr:rowOff>0</xdr:rowOff>
                  </from>
                  <to>
                    <xdr:col>35</xdr:col>
                    <xdr:colOff>0</xdr:colOff>
                    <xdr:row>21</xdr:row>
                    <xdr:rowOff>0</xdr:rowOff>
                  </to>
                </anchor>
              </controlPr>
            </control>
          </mc:Choice>
        </mc:AlternateContent>
        <mc:AlternateContent xmlns:mc="http://schemas.openxmlformats.org/markup-compatibility/2006">
          <mc:Choice Requires="x14">
            <control shapeId="4235" r:id="rId12" name="Option Button 139">
              <controlPr defaultSize="0" autoFill="0" autoLine="0" autoPict="0">
                <anchor moveWithCells="1">
                  <from>
                    <xdr:col>5</xdr:col>
                    <xdr:colOff>0</xdr:colOff>
                    <xdr:row>33</xdr:row>
                    <xdr:rowOff>28575</xdr:rowOff>
                  </from>
                  <to>
                    <xdr:col>6</xdr:col>
                    <xdr:colOff>9525</xdr:colOff>
                    <xdr:row>33</xdr:row>
                    <xdr:rowOff>238125</xdr:rowOff>
                  </to>
                </anchor>
              </controlPr>
            </control>
          </mc:Choice>
        </mc:AlternateContent>
        <mc:AlternateContent xmlns:mc="http://schemas.openxmlformats.org/markup-compatibility/2006">
          <mc:Choice Requires="x14">
            <control shapeId="4236" r:id="rId13" name="Option Button 140">
              <controlPr defaultSize="0" autoFill="0" autoLine="0" autoPict="0">
                <anchor moveWithCells="1">
                  <from>
                    <xdr:col>12</xdr:col>
                    <xdr:colOff>9525</xdr:colOff>
                    <xdr:row>33</xdr:row>
                    <xdr:rowOff>28575</xdr:rowOff>
                  </from>
                  <to>
                    <xdr:col>13</xdr:col>
                    <xdr:colOff>19050</xdr:colOff>
                    <xdr:row>33</xdr:row>
                    <xdr:rowOff>238125</xdr:rowOff>
                  </to>
                </anchor>
              </controlPr>
            </control>
          </mc:Choice>
        </mc:AlternateContent>
        <mc:AlternateContent xmlns:mc="http://schemas.openxmlformats.org/markup-compatibility/2006">
          <mc:Choice Requires="x14">
            <control shapeId="4237" r:id="rId14" name="Option Button 141">
              <controlPr defaultSize="0" autoFill="0" autoLine="0" autoPict="0">
                <anchor moveWithCells="1">
                  <from>
                    <xdr:col>18</xdr:col>
                    <xdr:colOff>190500</xdr:colOff>
                    <xdr:row>33</xdr:row>
                    <xdr:rowOff>28575</xdr:rowOff>
                  </from>
                  <to>
                    <xdr:col>20</xdr:col>
                    <xdr:colOff>0</xdr:colOff>
                    <xdr:row>33</xdr:row>
                    <xdr:rowOff>238125</xdr:rowOff>
                  </to>
                </anchor>
              </controlPr>
            </control>
          </mc:Choice>
        </mc:AlternateContent>
        <mc:AlternateContent xmlns:mc="http://schemas.openxmlformats.org/markup-compatibility/2006">
          <mc:Choice Requires="x14">
            <control shapeId="4238" r:id="rId15" name="Option Button 142">
              <controlPr defaultSize="0" autoFill="0" autoLine="0" autoPict="0">
                <anchor moveWithCells="1">
                  <from>
                    <xdr:col>26</xdr:col>
                    <xdr:colOff>0</xdr:colOff>
                    <xdr:row>33</xdr:row>
                    <xdr:rowOff>28575</xdr:rowOff>
                  </from>
                  <to>
                    <xdr:col>27</xdr:col>
                    <xdr:colOff>9525</xdr:colOff>
                    <xdr:row>33</xdr:row>
                    <xdr:rowOff>238125</xdr:rowOff>
                  </to>
                </anchor>
              </controlPr>
            </control>
          </mc:Choice>
        </mc:AlternateContent>
        <mc:AlternateContent xmlns:mc="http://schemas.openxmlformats.org/markup-compatibility/2006">
          <mc:Choice Requires="x14">
            <control shapeId="4239" r:id="rId16" name="Option Button 143">
              <controlPr defaultSize="0" autoFill="0" autoLine="0" autoPict="0">
                <anchor moveWithCells="1">
                  <from>
                    <xdr:col>5</xdr:col>
                    <xdr:colOff>0</xdr:colOff>
                    <xdr:row>34</xdr:row>
                    <xdr:rowOff>19050</xdr:rowOff>
                  </from>
                  <to>
                    <xdr:col>6</xdr:col>
                    <xdr:colOff>9525</xdr:colOff>
                    <xdr:row>34</xdr:row>
                    <xdr:rowOff>228600</xdr:rowOff>
                  </to>
                </anchor>
              </controlPr>
            </control>
          </mc:Choice>
        </mc:AlternateContent>
        <mc:AlternateContent xmlns:mc="http://schemas.openxmlformats.org/markup-compatibility/2006">
          <mc:Choice Requires="x14">
            <control shapeId="4241" r:id="rId17" name="Option Button 145">
              <controlPr defaultSize="0" autoFill="0" autoLine="0" autoPict="0">
                <anchor moveWithCells="1">
                  <from>
                    <xdr:col>12</xdr:col>
                    <xdr:colOff>9525</xdr:colOff>
                    <xdr:row>34</xdr:row>
                    <xdr:rowOff>19050</xdr:rowOff>
                  </from>
                  <to>
                    <xdr:col>13</xdr:col>
                    <xdr:colOff>19050</xdr:colOff>
                    <xdr:row>34</xdr:row>
                    <xdr:rowOff>228600</xdr:rowOff>
                  </to>
                </anchor>
              </controlPr>
            </control>
          </mc:Choice>
        </mc:AlternateContent>
        <mc:AlternateContent xmlns:mc="http://schemas.openxmlformats.org/markup-compatibility/2006">
          <mc:Choice Requires="x14">
            <control shapeId="4242" r:id="rId18" name="Option Button 146">
              <controlPr defaultSize="0" autoFill="0" autoLine="0" autoPict="0">
                <anchor moveWithCells="1">
                  <from>
                    <xdr:col>18</xdr:col>
                    <xdr:colOff>190500</xdr:colOff>
                    <xdr:row>34</xdr:row>
                    <xdr:rowOff>19050</xdr:rowOff>
                  </from>
                  <to>
                    <xdr:col>20</xdr:col>
                    <xdr:colOff>0</xdr:colOff>
                    <xdr:row>34</xdr:row>
                    <xdr:rowOff>228600</xdr:rowOff>
                  </to>
                </anchor>
              </controlPr>
            </control>
          </mc:Choice>
        </mc:AlternateContent>
        <mc:AlternateContent xmlns:mc="http://schemas.openxmlformats.org/markup-compatibility/2006">
          <mc:Choice Requires="x14">
            <control shapeId="4243" r:id="rId19" name="Option Button 147">
              <controlPr defaultSize="0" autoFill="0" autoLine="0" autoPict="0">
                <anchor moveWithCells="1">
                  <from>
                    <xdr:col>26</xdr:col>
                    <xdr:colOff>9525</xdr:colOff>
                    <xdr:row>34</xdr:row>
                    <xdr:rowOff>19050</xdr:rowOff>
                  </from>
                  <to>
                    <xdr:col>27</xdr:col>
                    <xdr:colOff>19050</xdr:colOff>
                    <xdr:row>34</xdr:row>
                    <xdr:rowOff>228600</xdr:rowOff>
                  </to>
                </anchor>
              </controlPr>
            </control>
          </mc:Choice>
        </mc:AlternateContent>
        <mc:AlternateContent xmlns:mc="http://schemas.openxmlformats.org/markup-compatibility/2006">
          <mc:Choice Requires="x14">
            <control shapeId="4244" r:id="rId20" name="Group Box 148">
              <controlPr defaultSize="0" autoFill="0" autoPict="0">
                <anchor moveWithCells="1">
                  <from>
                    <xdr:col>4</xdr:col>
                    <xdr:colOff>0</xdr:colOff>
                    <xdr:row>33</xdr:row>
                    <xdr:rowOff>0</xdr:rowOff>
                  </from>
                  <to>
                    <xdr:col>35</xdr:col>
                    <xdr:colOff>0</xdr:colOff>
                    <xdr:row>35</xdr:row>
                    <xdr:rowOff>0</xdr:rowOff>
                  </to>
                </anchor>
              </controlPr>
            </control>
          </mc:Choice>
        </mc:AlternateContent>
        <mc:AlternateContent xmlns:mc="http://schemas.openxmlformats.org/markup-compatibility/2006">
          <mc:Choice Requires="x14">
            <control shapeId="4271" r:id="rId21" name="Check Box 175">
              <controlPr defaultSize="0" autoFill="0" autoLine="0" autoPict="0">
                <anchor moveWithCells="1">
                  <from>
                    <xdr:col>7</xdr:col>
                    <xdr:colOff>133350</xdr:colOff>
                    <xdr:row>75</xdr:row>
                    <xdr:rowOff>180975</xdr:rowOff>
                  </from>
                  <to>
                    <xdr:col>9</xdr:col>
                    <xdr:colOff>38100</xdr:colOff>
                    <xdr:row>77</xdr:row>
                    <xdr:rowOff>9525</xdr:rowOff>
                  </to>
                </anchor>
              </controlPr>
            </control>
          </mc:Choice>
        </mc:AlternateContent>
        <mc:AlternateContent xmlns:mc="http://schemas.openxmlformats.org/markup-compatibility/2006">
          <mc:Choice Requires="x14">
            <control shapeId="4272" r:id="rId22" name="Check Box 176">
              <controlPr defaultSize="0" autoFill="0" autoLine="0" autoPict="0">
                <anchor moveWithCells="1">
                  <from>
                    <xdr:col>13</xdr:col>
                    <xdr:colOff>133350</xdr:colOff>
                    <xdr:row>75</xdr:row>
                    <xdr:rowOff>180975</xdr:rowOff>
                  </from>
                  <to>
                    <xdr:col>15</xdr:col>
                    <xdr:colOff>38100</xdr:colOff>
                    <xdr:row>77</xdr:row>
                    <xdr:rowOff>9525</xdr:rowOff>
                  </to>
                </anchor>
              </controlPr>
            </control>
          </mc:Choice>
        </mc:AlternateContent>
        <mc:AlternateContent xmlns:mc="http://schemas.openxmlformats.org/markup-compatibility/2006">
          <mc:Choice Requires="x14">
            <control shapeId="4273" r:id="rId23" name="Check Box 177">
              <controlPr defaultSize="0" autoFill="0" autoLine="0" autoPict="0">
                <anchor moveWithCells="1">
                  <from>
                    <xdr:col>19</xdr:col>
                    <xdr:colOff>133350</xdr:colOff>
                    <xdr:row>75</xdr:row>
                    <xdr:rowOff>180975</xdr:rowOff>
                  </from>
                  <to>
                    <xdr:col>21</xdr:col>
                    <xdr:colOff>38100</xdr:colOff>
                    <xdr:row>77</xdr:row>
                    <xdr:rowOff>9525</xdr:rowOff>
                  </to>
                </anchor>
              </controlPr>
            </control>
          </mc:Choice>
        </mc:AlternateContent>
        <mc:AlternateContent xmlns:mc="http://schemas.openxmlformats.org/markup-compatibility/2006">
          <mc:Choice Requires="x14">
            <control shapeId="4274" r:id="rId24" name="Check Box 178">
              <controlPr defaultSize="0" autoFill="0" autoLine="0" autoPict="0">
                <anchor moveWithCells="1">
                  <from>
                    <xdr:col>7</xdr:col>
                    <xdr:colOff>133350</xdr:colOff>
                    <xdr:row>77</xdr:row>
                    <xdr:rowOff>152400</xdr:rowOff>
                  </from>
                  <to>
                    <xdr:col>9</xdr:col>
                    <xdr:colOff>38100</xdr:colOff>
                    <xdr:row>78</xdr:row>
                    <xdr:rowOff>161925</xdr:rowOff>
                  </to>
                </anchor>
              </controlPr>
            </control>
          </mc:Choice>
        </mc:AlternateContent>
        <mc:AlternateContent xmlns:mc="http://schemas.openxmlformats.org/markup-compatibility/2006">
          <mc:Choice Requires="x14">
            <control shapeId="4275" r:id="rId25" name="Check Box 179">
              <controlPr defaultSize="0" autoFill="0" autoLine="0" autoPict="0">
                <anchor moveWithCells="1">
                  <from>
                    <xdr:col>13</xdr:col>
                    <xdr:colOff>133350</xdr:colOff>
                    <xdr:row>77</xdr:row>
                    <xdr:rowOff>152400</xdr:rowOff>
                  </from>
                  <to>
                    <xdr:col>15</xdr:col>
                    <xdr:colOff>38100</xdr:colOff>
                    <xdr:row>78</xdr:row>
                    <xdr:rowOff>161925</xdr:rowOff>
                  </to>
                </anchor>
              </controlPr>
            </control>
          </mc:Choice>
        </mc:AlternateContent>
        <mc:AlternateContent xmlns:mc="http://schemas.openxmlformats.org/markup-compatibility/2006">
          <mc:Choice Requires="x14">
            <control shapeId="4276" r:id="rId26" name="Check Box 180">
              <controlPr defaultSize="0" autoFill="0" autoLine="0" autoPict="0">
                <anchor moveWithCells="1">
                  <from>
                    <xdr:col>19</xdr:col>
                    <xdr:colOff>133350</xdr:colOff>
                    <xdr:row>77</xdr:row>
                    <xdr:rowOff>152400</xdr:rowOff>
                  </from>
                  <to>
                    <xdr:col>21</xdr:col>
                    <xdr:colOff>38100</xdr:colOff>
                    <xdr:row>78</xdr:row>
                    <xdr:rowOff>161925</xdr:rowOff>
                  </to>
                </anchor>
              </controlPr>
            </control>
          </mc:Choice>
        </mc:AlternateContent>
        <mc:AlternateContent xmlns:mc="http://schemas.openxmlformats.org/markup-compatibility/2006">
          <mc:Choice Requires="x14">
            <control shapeId="4277" r:id="rId27" name="Check Box 181">
              <controlPr defaultSize="0" autoFill="0" autoLine="0" autoPict="0">
                <anchor moveWithCells="1">
                  <from>
                    <xdr:col>26</xdr:col>
                    <xdr:colOff>133350</xdr:colOff>
                    <xdr:row>75</xdr:row>
                    <xdr:rowOff>180975</xdr:rowOff>
                  </from>
                  <to>
                    <xdr:col>28</xdr:col>
                    <xdr:colOff>38100</xdr:colOff>
                    <xdr:row>77</xdr:row>
                    <xdr:rowOff>9525</xdr:rowOff>
                  </to>
                </anchor>
              </controlPr>
            </control>
          </mc:Choice>
        </mc:AlternateContent>
        <mc:AlternateContent xmlns:mc="http://schemas.openxmlformats.org/markup-compatibility/2006">
          <mc:Choice Requires="x14">
            <control shapeId="4280" r:id="rId28" name="Check Box 184">
              <controlPr defaultSize="0" autoFill="0" autoLine="0" autoPict="0">
                <anchor moveWithCells="1">
                  <from>
                    <xdr:col>26</xdr:col>
                    <xdr:colOff>133350</xdr:colOff>
                    <xdr:row>77</xdr:row>
                    <xdr:rowOff>152400</xdr:rowOff>
                  </from>
                  <to>
                    <xdr:col>28</xdr:col>
                    <xdr:colOff>38100</xdr:colOff>
                    <xdr:row>78</xdr:row>
                    <xdr:rowOff>161925</xdr:rowOff>
                  </to>
                </anchor>
              </controlPr>
            </control>
          </mc:Choice>
        </mc:AlternateContent>
        <mc:AlternateContent xmlns:mc="http://schemas.openxmlformats.org/markup-compatibility/2006">
          <mc:Choice Requires="x14">
            <control shapeId="4281" r:id="rId29" name="Check Box 185">
              <controlPr defaultSize="0" autoFill="0" autoLine="0" autoPict="0">
                <anchor moveWithCells="1">
                  <from>
                    <xdr:col>7</xdr:col>
                    <xdr:colOff>133350</xdr:colOff>
                    <xdr:row>79</xdr:row>
                    <xdr:rowOff>161925</xdr:rowOff>
                  </from>
                  <to>
                    <xdr:col>9</xdr:col>
                    <xdr:colOff>38100</xdr:colOff>
                    <xdr:row>81</xdr:row>
                    <xdr:rowOff>0</xdr:rowOff>
                  </to>
                </anchor>
              </controlPr>
            </control>
          </mc:Choice>
        </mc:AlternateContent>
        <mc:AlternateContent xmlns:mc="http://schemas.openxmlformats.org/markup-compatibility/2006">
          <mc:Choice Requires="x14">
            <control shapeId="4282" r:id="rId30" name="Check Box 186">
              <controlPr defaultSize="0" autoFill="0" autoLine="0" autoPict="0">
                <anchor moveWithCells="1">
                  <from>
                    <xdr:col>7</xdr:col>
                    <xdr:colOff>133350</xdr:colOff>
                    <xdr:row>81</xdr:row>
                    <xdr:rowOff>133350</xdr:rowOff>
                  </from>
                  <to>
                    <xdr:col>9</xdr:col>
                    <xdr:colOff>38100</xdr:colOff>
                    <xdr:row>83</xdr:row>
                    <xdr:rowOff>0</xdr:rowOff>
                  </to>
                </anchor>
              </controlPr>
            </control>
          </mc:Choice>
        </mc:AlternateContent>
        <mc:AlternateContent xmlns:mc="http://schemas.openxmlformats.org/markup-compatibility/2006">
          <mc:Choice Requires="x14">
            <control shapeId="4283" r:id="rId31" name="Check Box 187">
              <controlPr defaultSize="0" autoFill="0" autoLine="0" autoPict="0">
                <anchor moveWithCells="1">
                  <from>
                    <xdr:col>13</xdr:col>
                    <xdr:colOff>133350</xdr:colOff>
                    <xdr:row>79</xdr:row>
                    <xdr:rowOff>161925</xdr:rowOff>
                  </from>
                  <to>
                    <xdr:col>15</xdr:col>
                    <xdr:colOff>38100</xdr:colOff>
                    <xdr:row>81</xdr:row>
                    <xdr:rowOff>0</xdr:rowOff>
                  </to>
                </anchor>
              </controlPr>
            </control>
          </mc:Choice>
        </mc:AlternateContent>
        <mc:AlternateContent xmlns:mc="http://schemas.openxmlformats.org/markup-compatibility/2006">
          <mc:Choice Requires="x14">
            <control shapeId="4284" r:id="rId32" name="Check Box 188">
              <controlPr defaultSize="0" autoFill="0" autoLine="0" autoPict="0">
                <anchor moveWithCells="1">
                  <from>
                    <xdr:col>13</xdr:col>
                    <xdr:colOff>133350</xdr:colOff>
                    <xdr:row>81</xdr:row>
                    <xdr:rowOff>133350</xdr:rowOff>
                  </from>
                  <to>
                    <xdr:col>15</xdr:col>
                    <xdr:colOff>38100</xdr:colOff>
                    <xdr:row>83</xdr:row>
                    <xdr:rowOff>0</xdr:rowOff>
                  </to>
                </anchor>
              </controlPr>
            </control>
          </mc:Choice>
        </mc:AlternateContent>
        <mc:AlternateContent xmlns:mc="http://schemas.openxmlformats.org/markup-compatibility/2006">
          <mc:Choice Requires="x14">
            <control shapeId="4285" r:id="rId33" name="Check Box 189">
              <controlPr defaultSize="0" autoFill="0" autoLine="0" autoPict="0">
                <anchor moveWithCells="1">
                  <from>
                    <xdr:col>19</xdr:col>
                    <xdr:colOff>133350</xdr:colOff>
                    <xdr:row>79</xdr:row>
                    <xdr:rowOff>161925</xdr:rowOff>
                  </from>
                  <to>
                    <xdr:col>21</xdr:col>
                    <xdr:colOff>38100</xdr:colOff>
                    <xdr:row>81</xdr:row>
                    <xdr:rowOff>0</xdr:rowOff>
                  </to>
                </anchor>
              </controlPr>
            </control>
          </mc:Choice>
        </mc:AlternateContent>
        <mc:AlternateContent xmlns:mc="http://schemas.openxmlformats.org/markup-compatibility/2006">
          <mc:Choice Requires="x14">
            <control shapeId="4287" r:id="rId34" name="Check Box 191">
              <controlPr defaultSize="0" autoFill="0" autoLine="0" autoPict="0">
                <anchor moveWithCells="1">
                  <from>
                    <xdr:col>19</xdr:col>
                    <xdr:colOff>133350</xdr:colOff>
                    <xdr:row>81</xdr:row>
                    <xdr:rowOff>142875</xdr:rowOff>
                  </from>
                  <to>
                    <xdr:col>21</xdr:col>
                    <xdr:colOff>38100</xdr:colOff>
                    <xdr:row>83</xdr:row>
                    <xdr:rowOff>9525</xdr:rowOff>
                  </to>
                </anchor>
              </controlPr>
            </control>
          </mc:Choice>
        </mc:AlternateContent>
        <mc:AlternateContent xmlns:mc="http://schemas.openxmlformats.org/markup-compatibility/2006">
          <mc:Choice Requires="x14">
            <control shapeId="4288" r:id="rId35" name="Check Box 192">
              <controlPr defaultSize="0" autoFill="0" autoLine="0" autoPict="0">
                <anchor moveWithCells="1">
                  <from>
                    <xdr:col>26</xdr:col>
                    <xdr:colOff>133350</xdr:colOff>
                    <xdr:row>79</xdr:row>
                    <xdr:rowOff>161925</xdr:rowOff>
                  </from>
                  <to>
                    <xdr:col>28</xdr:col>
                    <xdr:colOff>38100</xdr:colOff>
                    <xdr:row>81</xdr:row>
                    <xdr:rowOff>0</xdr:rowOff>
                  </to>
                </anchor>
              </controlPr>
            </control>
          </mc:Choice>
        </mc:AlternateContent>
        <mc:AlternateContent xmlns:mc="http://schemas.openxmlformats.org/markup-compatibility/2006">
          <mc:Choice Requires="x14">
            <control shapeId="4290" r:id="rId36" name="Check Box 194">
              <controlPr defaultSize="0" autoFill="0" autoLine="0" autoPict="0">
                <anchor moveWithCells="1">
                  <from>
                    <xdr:col>26</xdr:col>
                    <xdr:colOff>133350</xdr:colOff>
                    <xdr:row>81</xdr:row>
                    <xdr:rowOff>152400</xdr:rowOff>
                  </from>
                  <to>
                    <xdr:col>28</xdr:col>
                    <xdr:colOff>38100</xdr:colOff>
                    <xdr:row>83</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44"/>
  <sheetViews>
    <sheetView workbookViewId="0">
      <selection activeCell="H26" sqref="A23:AJ43"/>
    </sheetView>
  </sheetViews>
  <sheetFormatPr defaultColWidth="9" defaultRowHeight="13.5"/>
  <cols>
    <col min="1" max="1" width="7.125" bestFit="1" customWidth="1"/>
    <col min="2" max="2" width="2.5" bestFit="1" customWidth="1"/>
    <col min="3" max="3" width="7.75" customWidth="1"/>
    <col min="4" max="4" width="5.125" customWidth="1"/>
    <col min="5" max="5" width="2.5" bestFit="1" customWidth="1"/>
    <col min="6" max="6" width="8.5" customWidth="1"/>
    <col min="7" max="7" width="5.375" customWidth="1"/>
    <col min="8" max="8" width="2.5" bestFit="1" customWidth="1"/>
    <col min="9" max="10" width="7.75" customWidth="1"/>
    <col min="11" max="11" width="8.5" customWidth="1"/>
    <col min="12" max="12" width="2.25" customWidth="1"/>
    <col min="13" max="14" width="5" customWidth="1"/>
    <col min="18" max="18" width="3.5" customWidth="1"/>
    <col min="22" max="24" width="12.375" bestFit="1" customWidth="1"/>
  </cols>
  <sheetData>
    <row r="1" spans="1:24" ht="14.25" thickBot="1">
      <c r="C1" s="154"/>
      <c r="D1" s="154"/>
      <c r="E1" s="1077"/>
      <c r="F1" s="1077"/>
      <c r="G1" s="155"/>
    </row>
    <row r="2" spans="1:24" ht="14.25" thickBot="1">
      <c r="B2" s="1061" t="s">
        <v>175</v>
      </c>
      <c r="C2" s="1063"/>
      <c r="D2" s="172" t="str">
        <f>IF(AND(申込書!AM17=1,OR(申込書!W29="本部経費",申込書!W29="振込")),1,IF(AND(申込書!AM17=1,申込書!W29="学内振替"),2,IF(申込書!AM17=2,3,IF(申込書!AM17=3,4,IF(申込書!AM17=4,5,IF(申込書!AM17=5,6,IF(申込書!AM17=6,7,IF(申込書!AM17=7,8,""))))))))</f>
        <v/>
      </c>
      <c r="E2" s="1067" t="s">
        <v>176</v>
      </c>
      <c r="F2" s="1063"/>
      <c r="G2" s="156" t="str">
        <f>IF(D2="","",IF(OR(D2=1,D2=2),2,IF(D2=3,5,IF(AND(D2=4,申込書!E42="無料"),2,IF(AND(D2=4,申込書!E42="有料"),3,IF(D2=5,3,IF(D2=6,3,IF(D2=7,4,IF(AND(D2=8,申込書!AM34=3),6,IF(D2=8,1,""))))))))))</f>
        <v/>
      </c>
      <c r="H2" s="1069" t="s">
        <v>46</v>
      </c>
      <c r="I2" s="1069"/>
      <c r="J2" s="172" t="str">
        <f>IF(変更届!X2="","",IF(変更届!E29="無料",1,IF(変更届!S29&lt;=500,2,IF(変更届!S29&lt;=3000,3,IF(変更届!S29&lt;=5000,4,IF(変更届!S29&gt;=5001,5,""))))))</f>
        <v/>
      </c>
      <c r="K2" s="156" t="str">
        <f>IF(OR(G2=2,G2=4,G2=5,G2=6),6,IF(OR(J2=1,J2=2),1,IF(OR(J2=1,J2=2),1,IF(J2=3,2,IF(J2=4,3,IF(J2=5,4,""))))))</f>
        <v/>
      </c>
    </row>
    <row r="3" spans="1:24" ht="14.25" thickBot="1">
      <c r="B3" s="157">
        <v>1</v>
      </c>
      <c r="C3" s="1064" t="s">
        <v>120</v>
      </c>
      <c r="D3" s="1065"/>
      <c r="E3" s="158">
        <v>1</v>
      </c>
      <c r="F3" s="1064" t="s">
        <v>127</v>
      </c>
      <c r="G3" s="1068"/>
      <c r="H3" s="159">
        <v>1</v>
      </c>
      <c r="I3" s="1064">
        <v>0</v>
      </c>
      <c r="J3" s="1068"/>
      <c r="K3" s="160"/>
    </row>
    <row r="4" spans="1:24">
      <c r="B4" s="157">
        <v>2</v>
      </c>
      <c r="C4" s="1064" t="s">
        <v>121</v>
      </c>
      <c r="D4" s="1066"/>
      <c r="E4" s="161">
        <v>2</v>
      </c>
      <c r="F4" s="1064" t="s">
        <v>103</v>
      </c>
      <c r="G4" s="1066"/>
      <c r="H4" s="159">
        <v>2</v>
      </c>
      <c r="I4" s="1064" t="s">
        <v>150</v>
      </c>
      <c r="J4" s="1066"/>
      <c r="K4" s="160"/>
    </row>
    <row r="5" spans="1:24">
      <c r="B5" s="157">
        <v>3</v>
      </c>
      <c r="C5" s="1064" t="s">
        <v>111</v>
      </c>
      <c r="D5" s="1066"/>
      <c r="E5" s="159">
        <v>3</v>
      </c>
      <c r="F5" s="1064" t="s">
        <v>106</v>
      </c>
      <c r="G5" s="1066"/>
      <c r="H5" s="159">
        <v>3</v>
      </c>
      <c r="I5" s="1064" t="s">
        <v>129</v>
      </c>
      <c r="J5" s="1066"/>
      <c r="K5" s="160"/>
    </row>
    <row r="6" spans="1:24">
      <c r="B6" s="157">
        <v>4</v>
      </c>
      <c r="C6" s="1064" t="s">
        <v>122</v>
      </c>
      <c r="D6" s="1066"/>
      <c r="E6" s="159">
        <v>4</v>
      </c>
      <c r="F6" s="1064" t="s">
        <v>128</v>
      </c>
      <c r="G6" s="1066"/>
      <c r="H6" s="159">
        <v>4</v>
      </c>
      <c r="I6" s="1064" t="s">
        <v>130</v>
      </c>
      <c r="J6" s="1066"/>
      <c r="K6" s="160"/>
    </row>
    <row r="7" spans="1:24">
      <c r="B7" s="157">
        <v>5</v>
      </c>
      <c r="C7" s="1064" t="s">
        <v>123</v>
      </c>
      <c r="D7" s="1066"/>
      <c r="E7" s="159">
        <v>5</v>
      </c>
      <c r="F7" s="1064" t="s">
        <v>111</v>
      </c>
      <c r="G7" s="1066"/>
      <c r="H7" s="159">
        <v>5</v>
      </c>
      <c r="I7" s="1064" t="s">
        <v>131</v>
      </c>
      <c r="J7" s="1066"/>
      <c r="K7" s="160"/>
    </row>
    <row r="8" spans="1:24">
      <c r="B8" s="157">
        <v>6</v>
      </c>
      <c r="C8" s="1064" t="s">
        <v>124</v>
      </c>
      <c r="D8" s="1066"/>
      <c r="E8" s="159">
        <v>6</v>
      </c>
      <c r="F8" s="1064" t="s">
        <v>38</v>
      </c>
      <c r="G8" s="1066"/>
      <c r="I8" s="162"/>
      <c r="J8" s="162"/>
      <c r="K8" s="162"/>
    </row>
    <row r="9" spans="1:24">
      <c r="B9" s="157">
        <v>7</v>
      </c>
      <c r="C9" s="1064" t="s">
        <v>125</v>
      </c>
      <c r="D9" s="1066"/>
      <c r="F9" s="162"/>
      <c r="G9" s="162"/>
      <c r="I9" s="162"/>
      <c r="J9" s="162"/>
      <c r="K9" s="162"/>
    </row>
    <row r="10" spans="1:24">
      <c r="B10" s="157">
        <v>8</v>
      </c>
      <c r="C10" s="1064" t="s">
        <v>22</v>
      </c>
      <c r="D10" s="1066"/>
      <c r="F10" s="162"/>
      <c r="G10" s="162"/>
      <c r="I10" s="162"/>
      <c r="J10" s="162"/>
      <c r="K10" s="162"/>
    </row>
    <row r="13" spans="1:24" ht="14.25" thickBot="1">
      <c r="M13" t="s">
        <v>170</v>
      </c>
      <c r="S13" t="s">
        <v>254</v>
      </c>
    </row>
    <row r="14" spans="1:24">
      <c r="A14" s="185" t="s">
        <v>163</v>
      </c>
      <c r="B14" s="1060" t="s">
        <v>153</v>
      </c>
      <c r="C14" s="1060"/>
      <c r="D14" s="1060" t="s">
        <v>154</v>
      </c>
      <c r="E14" s="1061"/>
      <c r="F14" s="163" t="s">
        <v>155</v>
      </c>
      <c r="G14" s="1062" t="s">
        <v>50</v>
      </c>
      <c r="H14" s="1060"/>
      <c r="I14" s="185" t="s">
        <v>52</v>
      </c>
      <c r="J14" s="185" t="s">
        <v>54</v>
      </c>
      <c r="K14" s="185" t="s">
        <v>162</v>
      </c>
      <c r="M14" s="1062" t="s">
        <v>50</v>
      </c>
      <c r="N14" s="1060"/>
      <c r="O14" s="185" t="s">
        <v>52</v>
      </c>
      <c r="P14" s="185" t="s">
        <v>54</v>
      </c>
      <c r="Q14" s="185" t="s">
        <v>162</v>
      </c>
      <c r="S14" s="185" t="s">
        <v>153</v>
      </c>
      <c r="T14" s="185" t="s">
        <v>154</v>
      </c>
      <c r="U14" s="163" t="s">
        <v>97</v>
      </c>
      <c r="V14" s="185" t="s">
        <v>237</v>
      </c>
      <c r="W14" s="185" t="s">
        <v>239</v>
      </c>
      <c r="X14" s="185" t="s">
        <v>240</v>
      </c>
    </row>
    <row r="15" spans="1:24" ht="14.25" thickBot="1">
      <c r="A15" s="1048" t="s">
        <v>164</v>
      </c>
      <c r="B15" s="1070" t="str">
        <f>IF(変更届!A35&lt;&gt;"",WEEKDAY(変更届!A35,1),"")</f>
        <v/>
      </c>
      <c r="C15" s="1071"/>
      <c r="D15" s="1070" t="str">
        <f>IF(変更届!A35&lt;&gt;"",IF(COUNTIF(祝日!$A$1:$A$108,変更届!A35),1,0),"")</f>
        <v/>
      </c>
      <c r="E15" s="1074"/>
      <c r="F15" s="1046" t="str">
        <f>IF(変更届!A35="","",IF(OR($G$2=2,$G$2=5),5,IF(D15=1,2,IF(OR(B15=1,B15=7),2,1))))</f>
        <v/>
      </c>
      <c r="G15" s="1057" t="str">
        <f>IF(変更届!H35="","",IF($G$2=2,5,IF(OR(変更届!H35="準備",変更届!H35="リハーサル"),2,1)))</f>
        <v/>
      </c>
      <c r="H15" s="1058"/>
      <c r="I15" s="171" t="str">
        <f>IF(変更届!N35="","",IF($G$2=2,5,IF(OR(変更届!N35="準備",変更届!N35="リハーサル"),2,1)))</f>
        <v/>
      </c>
      <c r="J15" s="171" t="str">
        <f>IF(変更届!T35="","",IF($G$2=2,5,IF(OR(変更届!T35="準備",変更届!T35="リハーサル"),2,1)))</f>
        <v/>
      </c>
      <c r="K15" s="171" t="str">
        <f>IF(変更届!Z35="","",IF(OR(変更届!Z36="準備",変更届!Z36="リハーサル"),2,1))</f>
        <v/>
      </c>
      <c r="M15" s="1057" t="str">
        <f>IF(G15="","",IF(OR(変更届!H35="準備",変更届!H35="リハーサル"),2,1))</f>
        <v/>
      </c>
      <c r="N15" s="1058"/>
      <c r="O15" s="171" t="str">
        <f>IF(I15="","",IF(OR(変更届!N35="準備",変更届!N35="リハーサル"),2,1))</f>
        <v/>
      </c>
      <c r="P15" s="171" t="str">
        <f>IF(J15="","",IF(OR(変更届!T35="準備",変更届!T35="リハーサル"),2,1))</f>
        <v/>
      </c>
      <c r="Q15" s="171" t="str">
        <f>IF(K15="","",IF(OR(変更届!Z36="準備",変更届!Z36="リハーサル"),2,1))</f>
        <v/>
      </c>
      <c r="S15" s="1042" t="str">
        <f>IF(延長使用届!A32&lt;&gt;"",WEEKDAY(延長使用届!A32,1),"")</f>
        <v/>
      </c>
      <c r="T15" s="1044" t="str">
        <f>IF(延長使用届!A32&lt;&gt;"",IF(COUNTIF(祝日!$A$1:$A$108,延長使用届!A32),1,0),"")</f>
        <v/>
      </c>
      <c r="U15" s="1046" t="str">
        <f>IF(延長使用届!A32="","",IF(OR($G$2=2,$G$2=5),5,IF(T15=1,2,IF(OR(S15=1,S15=7),2,1))))</f>
        <v/>
      </c>
      <c r="V15" s="171" t="str">
        <f>IF(延長使用届!H32="","",IF($G$2=2,5,IF(OR(延長使用届!H32="準備",延長使用届!H32="リハーサル"),2,1)))</f>
        <v/>
      </c>
      <c r="W15" s="171" t="str">
        <f>IF(延長使用届!N32="","",IF($G$2=2,5,IF(OR(延長使用届!N32="準備",延長使用届!N32="リハーサル"),2,1)))</f>
        <v/>
      </c>
      <c r="X15" s="171" t="str">
        <f>IF(延長使用届!T32="","",IF($G$2=2,5,IF(OR(延長使用届!T32="準備",延長使用届!T32="リハーサル"),2,1)))</f>
        <v/>
      </c>
    </row>
    <row r="16" spans="1:24" ht="14.25" thickBot="1">
      <c r="A16" s="1049"/>
      <c r="B16" s="1072"/>
      <c r="C16" s="1073"/>
      <c r="D16" s="1072"/>
      <c r="E16" s="1075"/>
      <c r="F16" s="1076"/>
      <c r="G16" s="1059" t="str">
        <f>IF(G15="","",CONCATENATE($G$2,$K$2,F15,G15))</f>
        <v/>
      </c>
      <c r="H16" s="1059"/>
      <c r="I16" s="184" t="str">
        <f>IF(I15="","",CONCATENATE($G$2,$K$2,$F$15,I15))</f>
        <v/>
      </c>
      <c r="J16" s="184" t="str">
        <f>IF(J15="","",CONCATENATE($G$2,$K$2,$F$15,J15))</f>
        <v/>
      </c>
      <c r="K16" s="184" t="str">
        <f>IF(K15="","",CONCATENATE($G$2,$K$2,$F$15,K15))</f>
        <v/>
      </c>
      <c r="M16" s="1059" t="str">
        <f>IF(M15="","",CONCATENATE($E$3,IF(OR($J$2=1,$J$2=2),1,IF($J$2=3,2,IF($J$2=4,3,IF($J$2=5,4,0)))),IF(OR(B15=1,B15=7,D15=1),2,1),M15))</f>
        <v/>
      </c>
      <c r="N16" s="1059"/>
      <c r="O16" s="184" t="str">
        <f>IF(O15="","",CONCATENATE($E$3,IF(OR($J$2=1,$J$2=2),1,IF($J$2=3,2,IF($J$2=4,3,IF($J$2=5,4,0)))),IF(OR(B15=1,B15=7,D15=1),2,1),O15))</f>
        <v/>
      </c>
      <c r="P16" s="184" t="str">
        <f>IF(P15="","",CONCATENATE($E$3,IF(OR($J$2=1,$J$2=2),1,IF($J$2=3,2,IF($J$2=4,3,IF($J$2=5,4,0)))),IF(OR(B15=1,B15=7,D15=1),2,1),P15))</f>
        <v/>
      </c>
      <c r="Q16" s="184" t="str">
        <f>IF(Q15="","",CONCATENATE($E$3,IF(OR($J$2=1,$J$2=2),1,IF($J$2=3,2,IF($J$2=4,3,IF($J$2=5,4,0)))),IF(OR(B15=1,B15=7,D15=1),2,1),Q15))</f>
        <v/>
      </c>
      <c r="S16" s="1043"/>
      <c r="T16" s="1045"/>
      <c r="U16" s="1047"/>
      <c r="V16" s="184" t="str">
        <f>IF(V15="","",CONCATENATE($G$2,$K$2,$U$15,V15))</f>
        <v/>
      </c>
      <c r="W16" s="184" t="str">
        <f>IF(W15="","",CONCATENATE($G$2,$K$2,$U$15,W15))</f>
        <v/>
      </c>
      <c r="X16" s="184" t="str">
        <f>IF(X15="","",CONCATENATE($G$2,$K$2,$U$15,X15))</f>
        <v/>
      </c>
    </row>
    <row r="17" spans="1:24" ht="14.25" thickBot="1">
      <c r="A17" s="1048" t="s">
        <v>165</v>
      </c>
      <c r="B17" s="1070" t="str">
        <f>IF(変更届!A37&lt;&gt;"",WEEKDAY(変更届!A37,1),"")</f>
        <v/>
      </c>
      <c r="C17" s="1071"/>
      <c r="D17" s="1070" t="str">
        <f>IF(変更届!A37&lt;&gt;"",IF(COUNTIF(祝日!$A$1:$A$108,変更届!A37),1,0),"")</f>
        <v/>
      </c>
      <c r="E17" s="1074"/>
      <c r="F17" s="1046" t="str">
        <f>IF(変更届!A37="","",IF(OR($G$2=2,$G$2=5),5,IF(D17=1,2,IF(OR(B17=1,B17=7),2,1))))</f>
        <v/>
      </c>
      <c r="G17" s="1057" t="str">
        <f>IF(変更届!H37="","",IF($G$2=2,5,IF(OR(変更届!H37="準備",変更届!H37="リハーサル"),2,1)))</f>
        <v/>
      </c>
      <c r="H17" s="1058"/>
      <c r="I17" s="171" t="str">
        <f>IF(変更届!N37="","",IF($G$2=2,5,IF(OR(変更届!N37="準備",変更届!N37="リハーサル"),2,1)))</f>
        <v/>
      </c>
      <c r="J17" s="171" t="str">
        <f>IF(変更届!T37="","",IF($G$2=2,5,IF(OR(変更届!T37="準備",変更届!T37="リハーサル"),2,1)))</f>
        <v/>
      </c>
      <c r="K17" s="171" t="str">
        <f>IF(変更届!Z37="","",IF(OR(変更届!Z38="準備",変更届!Z38="リハーサル"),2,1))</f>
        <v/>
      </c>
      <c r="M17" s="1057" t="str">
        <f>IF(G17="","",IF(OR(変更届!H37="準備",変更届!H37="リハーサル"),2,1))</f>
        <v/>
      </c>
      <c r="N17" s="1058"/>
      <c r="O17" s="171" t="str">
        <f>IF(I17="","",IF(OR(変更届!N37="準備",変更届!N37="リハーサル"),2,1))</f>
        <v/>
      </c>
      <c r="P17" s="171" t="str">
        <f>IF(J17="","",IF(OR(変更届!T37="準備",変更届!T37="リハーサル"),2,1))</f>
        <v/>
      </c>
      <c r="Q17" s="171" t="str">
        <f>IF(K17="","",IF(OR(変更届!Z38="準備",変更届!Z38="リハーサル"),2,1))</f>
        <v/>
      </c>
      <c r="V17" s="176"/>
      <c r="W17" s="176"/>
    </row>
    <row r="18" spans="1:24" ht="14.25" thickBot="1">
      <c r="A18" s="1049"/>
      <c r="B18" s="1072"/>
      <c r="C18" s="1073"/>
      <c r="D18" s="1072"/>
      <c r="E18" s="1075"/>
      <c r="F18" s="1076"/>
      <c r="G18" s="1059" t="str">
        <f>IF(G17="","",CONCATENATE($G$2,$K$2,$F$17,G17))</f>
        <v/>
      </c>
      <c r="H18" s="1059"/>
      <c r="I18" s="184" t="str">
        <f>IF(I17="","",CONCATENATE($G$2,$K$2,$F$17,I17))</f>
        <v/>
      </c>
      <c r="J18" s="184" t="str">
        <f>IF(J17="","",CONCATENATE($G$2,$K$2,$F$17,J17))</f>
        <v/>
      </c>
      <c r="K18" s="184" t="str">
        <f>IF(K17="","",CONCATENATE($G$2,$K$2,$F$17,K17))</f>
        <v/>
      </c>
      <c r="M18" s="1059" t="str">
        <f>IF(M17="","",CONCATENATE($E$3,IF(OR($J$2=1,$J$2=2),1,IF($J$2=3,2,IF($J$2=4,3,IF($J$2=5,4,0)))),IF(OR(B17=1,B17=7,D17=1),2,1),M17))</f>
        <v/>
      </c>
      <c r="N18" s="1059"/>
      <c r="O18" s="184" t="str">
        <f>IF(O17="","",CONCATENATE($E$3,IF(OR($J$2=1,$J$2=2),1,IF($J$2=3,2,IF($J$2=4,3,IF($J$2=5,4,0)))),IF(OR(B17=1,B17=7,D17=1),2,1),O17))</f>
        <v/>
      </c>
      <c r="P18" s="184" t="str">
        <f>IF(P17="","",CONCATENATE($E$3,IF(OR($J$2=1,$J$2=2),1,IF($J$2=3,2,IF($J$2=4,3,IF($J$2=5,4,0)))),IF(OR(B17=1,B17=7,D17=1),2,1),P17))</f>
        <v/>
      </c>
      <c r="Q18" s="184" t="str">
        <f>IF(Q17="","",CONCATENATE($E$3,IF(OR($J$2=1,$J$2=2),1,IF($J$2=3,2,IF($J$2=4,3,IF($J$2=5,4,0)))),IF(OR(B17=1,B17=7,D17=1),2,1),Q17))</f>
        <v/>
      </c>
      <c r="S18" t="s">
        <v>255</v>
      </c>
    </row>
    <row r="19" spans="1:24" ht="14.25" thickBot="1">
      <c r="A19" s="1048" t="s">
        <v>166</v>
      </c>
      <c r="B19" s="1070" t="str">
        <f>IF(変更届!A39&lt;&gt;"",WEEKDAY(変更届!A39,1),"")</f>
        <v/>
      </c>
      <c r="C19" s="1071"/>
      <c r="D19" s="1070" t="str">
        <f>IF(変更届!A39&lt;&gt;"",IF(COUNTIF(祝日!$A$1:$A$108,変更届!A39),1,0),"")</f>
        <v/>
      </c>
      <c r="E19" s="1074"/>
      <c r="F19" s="1046" t="str">
        <f>IF(変更届!A39="","",IF(OR($G$2=2,$G$2=5),5,IF(D19=1,2,IF(OR(B19=1,B19=7),2,1))))</f>
        <v/>
      </c>
      <c r="G19" s="1057" t="str">
        <f>IF(変更届!H39="","",IF($G$2=2,5,IF(OR(変更届!H39="準備",変更届!H39="リハーサル"),2,1)))</f>
        <v/>
      </c>
      <c r="H19" s="1058"/>
      <c r="I19" s="171" t="str">
        <f>IF(変更届!N39="","",IF($G$2=2,5,IF(OR(変更届!N39="準備",変更届!N39="リハーサル"),2,1)))</f>
        <v/>
      </c>
      <c r="J19" s="171" t="str">
        <f>IF(変更届!T39="","",IF($G$2=2,5,IF(OR(変更届!T39="準備",変更届!T39="リハーサル"),2,1)))</f>
        <v/>
      </c>
      <c r="K19" s="171" t="str">
        <f>IF(変更届!Z39="","",IF(OR(変更届!Z40="準備",変更届!Z40="リハーサル"),2,1))</f>
        <v/>
      </c>
      <c r="M19" s="1057" t="str">
        <f>IF(G19="","",IF(OR(変更届!H39="準備",変更届!H39="リハーサル"),2,1))</f>
        <v/>
      </c>
      <c r="N19" s="1058"/>
      <c r="O19" s="171" t="str">
        <f>IF(I19="","",IF(OR(変更届!N39="準備",変更届!N39="リハーサル"),2,1))</f>
        <v/>
      </c>
      <c r="P19" s="171" t="str">
        <f>IF(J19="","",IF(OR(変更届!T39="準備",変更届!T39="リハーサル"),2,1))</f>
        <v/>
      </c>
      <c r="Q19" s="171" t="str">
        <f>IF(K19="","",IF(OR(変更届!Z40="準備",変更届!Z40="リハーサル"),2,1))</f>
        <v/>
      </c>
      <c r="S19" s="185" t="s">
        <v>153</v>
      </c>
      <c r="T19" s="185" t="s">
        <v>154</v>
      </c>
      <c r="U19" s="163" t="s">
        <v>97</v>
      </c>
      <c r="V19" s="185" t="s">
        <v>237</v>
      </c>
      <c r="W19" s="185" t="s">
        <v>239</v>
      </c>
      <c r="X19" s="185" t="s">
        <v>240</v>
      </c>
    </row>
    <row r="20" spans="1:24" ht="14.25" thickBot="1">
      <c r="A20" s="1049"/>
      <c r="B20" s="1072"/>
      <c r="C20" s="1073"/>
      <c r="D20" s="1072"/>
      <c r="E20" s="1075"/>
      <c r="F20" s="1076"/>
      <c r="G20" s="1059" t="str">
        <f>IF(G19="","",CONCATENATE($G$2,$K$2,$F$19,G19))</f>
        <v/>
      </c>
      <c r="H20" s="1059"/>
      <c r="I20" s="184" t="str">
        <f>IF(I19="","",CONCATENATE($G$2,$K$2,$F$19,I19))</f>
        <v/>
      </c>
      <c r="J20" s="184" t="str">
        <f>IF(J19="","",CONCATENATE($G$2,$K$2,$F$19,J19))</f>
        <v/>
      </c>
      <c r="K20" s="184" t="str">
        <f>IF(K19="","",CONCATENATE($G$2,$K$2,$F$19,K19))</f>
        <v/>
      </c>
      <c r="M20" s="1059" t="str">
        <f>IF(M19="","",CONCATENATE($E$3,IF(OR($J$2=1,$J$2=2),1,IF($J$2=3,2,IF($J$2=4,3,IF($J$2=5,4,0)))),IF(OR(B19=1,B19=7,D19=1),2,1),M19))</f>
        <v/>
      </c>
      <c r="N20" s="1059"/>
      <c r="O20" s="184" t="str">
        <f>IF(O19="","",CONCATENATE($E$3,IF(OR($J$2=1,$J$2=2),1,IF($J$2=3,2,IF($J$2=4,3,IF($J$2=5,4,0)))),IF(OR(B19=1,B19=7,D19=1),2,1),O19))</f>
        <v/>
      </c>
      <c r="P20" s="184" t="str">
        <f>IF(P19="","",CONCATENATE($E$3,IF(OR($J$2=1,$J$2=2),1,IF($J$2=3,2,IF($J$2=4,3,IF($J$2=5,4,0)))),IF(OR(B19=1,B19=7,D19=1),2,1),P19))</f>
        <v/>
      </c>
      <c r="Q20" s="184" t="str">
        <f>IF(Q19="","",CONCATENATE($E$3,IF(OR($J$2=1,$J$2=2),1,IF($J$2=3,2,IF($J$2=4,3,IF($J$2=5,4,0)))),IF(OR(B19=1,B19=7,D19=1),2,1),Q19))</f>
        <v/>
      </c>
      <c r="S20" s="1042" t="str">
        <f>IF(延長使用届!A32&lt;&gt;"",WEEKDAY(延長使用届!A32,1),"")</f>
        <v/>
      </c>
      <c r="T20" s="1044" t="str">
        <f>IF(延長使用届!A32&lt;&gt;"",IF(COUNTIF(祝日!$A$1:$A$108,延長使用届!A32),1,0),"")</f>
        <v/>
      </c>
      <c r="U20" s="1046" t="str">
        <f>IF(延長使用届!A32="","",IF(T20=1,2,IF(OR(S20=1,S20=7),2,1)))</f>
        <v/>
      </c>
      <c r="V20" s="171" t="str">
        <f>IF(延長使用届!H32="","",IF(OR(延長使用届!H32="準備",延長使用届!H32="リハーサル"),2,1))</f>
        <v/>
      </c>
      <c r="W20" s="171" t="str">
        <f>IF(延長使用届!N32="","",IF(OR(延長使用届!N32="準備",延長使用届!N32="リハーサル"),2,1))</f>
        <v/>
      </c>
      <c r="X20" s="171" t="str">
        <f>IF(延長使用届!T32="","",IF(OR(延長使用届!T32="準備",延長使用届!T32="リハーサル"),2,1))</f>
        <v/>
      </c>
    </row>
    <row r="21" spans="1:24" ht="14.25" thickBot="1">
      <c r="A21" s="1048" t="s">
        <v>167</v>
      </c>
      <c r="B21" s="1070" t="str">
        <f>IF(変更届!A41&lt;&gt;"",WEEKDAY(変更届!A41,1),"")</f>
        <v/>
      </c>
      <c r="C21" s="1071"/>
      <c r="D21" s="1070" t="str">
        <f>IF(変更届!A41&lt;&gt;"",IF(COUNTIF(祝日!$A$1:$A$108,変更届!A41),1,0),"")</f>
        <v/>
      </c>
      <c r="E21" s="1074"/>
      <c r="F21" s="1046" t="str">
        <f>IF(変更届!A41="","",IF(OR($G$2=2,$G$2=5),5,IF(D21=1,2,IF(OR(B21=1,B21=7),2,1))))</f>
        <v/>
      </c>
      <c r="G21" s="1057" t="str">
        <f>IF(変更届!H41="","",IF($G$2=2,5,IF(OR(変更届!H41="準備",変更届!H41="リハーサル"),2,1)))</f>
        <v/>
      </c>
      <c r="H21" s="1058"/>
      <c r="I21" s="171" t="str">
        <f>IF(変更届!N41="","",IF($G$2=2,5,IF(OR(変更届!N41="準備",変更届!N41="リハーサル"),2,1)))</f>
        <v/>
      </c>
      <c r="J21" s="171" t="str">
        <f>IF(変更届!T41="","",IF($G$2=2,5,IF(OR(変更届!T41="準備",変更届!T41="リハーサル"),2,1)))</f>
        <v/>
      </c>
      <c r="K21" s="171" t="str">
        <f>IF(変更届!Z41="","",IF(OR(変更届!Z42="準備",変更届!Z42="リハーサル"),2,1))</f>
        <v/>
      </c>
      <c r="M21" s="1057" t="str">
        <f>IF(G21="","",IF(OR(変更届!H40="準備",変更届!H40="リハーサル"),2,1))</f>
        <v/>
      </c>
      <c r="N21" s="1058"/>
      <c r="O21" s="171" t="str">
        <f>IF(I21="","",IF(OR(変更届!N41="準備",変更届!N41="リハーサル"),2,1))</f>
        <v/>
      </c>
      <c r="P21" s="171" t="str">
        <f>IF(J21="","",IF(OR(変更届!T41="準備",変更届!T41="リハーサル"),2,1))</f>
        <v/>
      </c>
      <c r="Q21" s="171" t="str">
        <f>IF(K21="","",IF(OR(変更届!Z42="準備",変更届!Z42="リハーサル"),2,1))</f>
        <v/>
      </c>
      <c r="S21" s="1043"/>
      <c r="T21" s="1045"/>
      <c r="U21" s="1047"/>
      <c r="V21" s="184" t="str">
        <f>IF(V20="","",CONCATENATE($E$3,IF(OR($J$2=1,$J$2=2),1,IF($J$2=3,2,IF($J$2=4,3,IF($J$2=5,4,0)))),IF(OR(B15=1,B15=7,D15=1),2,1),V21))</f>
        <v/>
      </c>
      <c r="W21" s="184" t="str">
        <f>IF(W20="","",CONCATENATE($E$3,IF(OR($J$2=1,$J$2=2),1,IF($J$2=3,2,IF($J$2=4,3,IF($J$2=5,4,0)))),IF(OR(B15=1,B15=7,D15=1),2,1),W20))</f>
        <v/>
      </c>
      <c r="X21" s="184" t="str">
        <f>IF(X20="","",CONCATENATE($E$3,IF(OR($J$2=1,$J$2=2),1,IF($J$2=3,2,IF($J$2=4,3,IF($J$2=5,4,0)))),IF(OR(B15=1,B15=7,D15=1),2,1),X20))</f>
        <v/>
      </c>
    </row>
    <row r="22" spans="1:24" ht="14.25" thickBot="1">
      <c r="A22" s="1049"/>
      <c r="B22" s="1072"/>
      <c r="C22" s="1073"/>
      <c r="D22" s="1072"/>
      <c r="E22" s="1075"/>
      <c r="F22" s="1076"/>
      <c r="G22" s="1059" t="str">
        <f>IF(G21="","",CONCATENATE($G$2,$K$2,$F$21,G21))</f>
        <v/>
      </c>
      <c r="H22" s="1059"/>
      <c r="I22" s="184" t="str">
        <f>IF(I21="","",CONCATENATE($G$2,$K$2,$F$21,I21))</f>
        <v/>
      </c>
      <c r="J22" s="184" t="str">
        <f>IF(J21="","",CONCATENATE($G$2,$K$2,$F$21,J21))</f>
        <v/>
      </c>
      <c r="K22" s="184" t="str">
        <f>IF(K21="","",CONCATENATE($G$2,$K$2,$F$21,K21))</f>
        <v/>
      </c>
      <c r="M22" s="1059" t="str">
        <f>IF(M21="","",CONCATENATE($E$3,IF(OR($J$2=1,$J$2=2),1,IF($J$2=3,2,IF($J$2=4,3,IF($J$2=5,4,0)))),IF(OR(B21=1,B21=7,D21=1),2,1),M21))</f>
        <v/>
      </c>
      <c r="N22" s="1059"/>
      <c r="O22" s="184" t="str">
        <f>IF(O21="","",CONCATENATE($E$3,IF(OR($J$2=1,$J$2=2),1,IF($J$2=3,2,IF($J$2=4,3,IF($J$2=5,4,0)))),IF(OR(B21=1,B21=7,D21=1),2,1),O21))</f>
        <v/>
      </c>
      <c r="P22" s="184" t="str">
        <f>IF(P21="","",CONCATENATE($E$3,IF(OR($J$2=1,$J$2=2),1,IF($J$2=3,2,IF($J$2=4,3,IF($J$2=5,4,0)))),IF(OR(B21=1,B21=7,D21=1),2,1),P21))</f>
        <v/>
      </c>
      <c r="Q22" s="184" t="str">
        <f>IF(Q21="","",CONCATENATE($E$3,IF(OR($J$2=1,$J$2=2),1,IF($J$2=3,2,IF($J$2=4,3,IF($J$2=5,4,0)))),IF(OR(B21=1,B21=7,D21=1),2,1),Q21))</f>
        <v/>
      </c>
      <c r="V22" s="176"/>
      <c r="W22" s="176"/>
    </row>
    <row r="23" spans="1:24" ht="14.25" thickBot="1">
      <c r="S23" t="s">
        <v>256</v>
      </c>
    </row>
    <row r="24" spans="1:24">
      <c r="A24" s="185" t="s">
        <v>168</v>
      </c>
      <c r="B24" s="1060" t="s">
        <v>153</v>
      </c>
      <c r="C24" s="1060"/>
      <c r="D24" s="1060" t="s">
        <v>154</v>
      </c>
      <c r="E24" s="1061"/>
      <c r="F24" s="163" t="s">
        <v>97</v>
      </c>
      <c r="G24" s="1062" t="s">
        <v>50</v>
      </c>
      <c r="H24" s="1060"/>
      <c r="I24" s="185" t="s">
        <v>52</v>
      </c>
      <c r="J24" s="185" t="s">
        <v>54</v>
      </c>
      <c r="K24" s="185" t="s">
        <v>162</v>
      </c>
      <c r="M24" s="1062" t="s">
        <v>50</v>
      </c>
      <c r="N24" s="1060"/>
      <c r="O24" s="185" t="s">
        <v>52</v>
      </c>
      <c r="P24" s="185" t="s">
        <v>54</v>
      </c>
      <c r="Q24" s="185" t="s">
        <v>162</v>
      </c>
      <c r="S24" s="185" t="s">
        <v>153</v>
      </c>
      <c r="T24" s="185" t="s">
        <v>154</v>
      </c>
      <c r="U24" s="163" t="s">
        <v>97</v>
      </c>
      <c r="V24" s="185" t="s">
        <v>237</v>
      </c>
      <c r="W24" s="185" t="s">
        <v>239</v>
      </c>
      <c r="X24" s="185" t="s">
        <v>240</v>
      </c>
    </row>
    <row r="25" spans="1:24" ht="14.25" thickBot="1">
      <c r="A25" s="1048" t="s">
        <v>164</v>
      </c>
      <c r="B25" s="1050"/>
      <c r="C25" s="1051"/>
      <c r="D25" s="1050"/>
      <c r="E25" s="1054"/>
      <c r="F25" s="1040"/>
      <c r="G25" s="1057" t="str">
        <f>IF(OR(変更届!H47="",変更届!H47="（会議室選択）"),"",IF(変更届!H47="会議室１・２・３",3,IF(OR(変更届!H47="会議室１・２",変更届!H47="会議室１・３",変更届!H47="会議室２・３"),2,1)))</f>
        <v/>
      </c>
      <c r="H25" s="1058"/>
      <c r="I25" s="171" t="str">
        <f>IF(OR(変更届!N47="",変更届!N47="（会議室選択）"),"",IF(変更届!N47="会議室１・２・３",3,IF(OR(変更届!N47="会議室１・２",変更届!N47="会議室１・３",変更届!N47="会議室２・３"),2,1)))</f>
        <v/>
      </c>
      <c r="J25" s="171" t="str">
        <f>IF(OR(変更届!T47="",変更届!T47="（会議室選択）"),"",IF(変更届!T47="会議室１・２・３",3,IF(OR(変更届!T47="会議室１・２",変更届!T47="会議室１・３",変更届!T47="会議室２・３"),2,1)))</f>
        <v/>
      </c>
      <c r="K25" s="164"/>
      <c r="M25" s="1057" t="str">
        <f>G25</f>
        <v/>
      </c>
      <c r="N25" s="1058"/>
      <c r="O25" s="171" t="str">
        <f>I25</f>
        <v/>
      </c>
      <c r="P25" s="171" t="str">
        <f>J25</f>
        <v/>
      </c>
      <c r="Q25" s="164"/>
      <c r="S25" s="1036" t="str">
        <f>IF(延長使用届!A38&lt;&gt;"",WEEKDAY(延長使用届!A38,1),"")</f>
        <v/>
      </c>
      <c r="T25" s="1038" t="str">
        <f>IF(延長使用届!A38&lt;&gt;"",IF(COUNTIF(祝日!#REF!,延長使用届!A38),1,0),"")</f>
        <v/>
      </c>
      <c r="U25" s="1040"/>
      <c r="V25" s="171" t="str">
        <f>IF(延長使用届!H38="","",IF(延長使用届!H38="会議室１・２・３",3,IF(OR(延長使用届!H38="会議室１・２",延長使用届!H38="会議室１・３",延長使用届!H38="会議室２・３"),2,1)))</f>
        <v/>
      </c>
      <c r="W25" s="171" t="str">
        <f>IF(延長使用届!N38="","",IF(延長使用届!N38="会議室１・２・３",3,IF(OR(延長使用届!N38="会議室１・２",延長使用届!N38="会議室１・３",延長使用届!I38="会議室２・３"),2,1)))</f>
        <v/>
      </c>
      <c r="X25" s="171" t="str">
        <f>IF(延長使用届!T38="","",IF(延長使用届!T38="会議室１・２・３",3,IF(OR(延長使用届!T38="会議室１・２",延長使用届!T38="会議室１・３",延長使用届!T38="会議室２・３"),2,1)))</f>
        <v/>
      </c>
    </row>
    <row r="26" spans="1:24" ht="14.25" thickBot="1">
      <c r="A26" s="1049"/>
      <c r="B26" s="1052"/>
      <c r="C26" s="1053"/>
      <c r="D26" s="1052"/>
      <c r="E26" s="1055"/>
      <c r="F26" s="1056"/>
      <c r="G26" s="1059" t="str">
        <f>IF(G25="","",CONCATENATE($G$2,6,5,6))</f>
        <v/>
      </c>
      <c r="H26" s="1059"/>
      <c r="I26" s="184" t="str">
        <f>IF(I25="","",CONCATENATE($G$2,6,5,6))</f>
        <v/>
      </c>
      <c r="J26" s="184" t="str">
        <f>IF(J25="","",CONCATENATE($G$2,6,5,6))</f>
        <v/>
      </c>
      <c r="K26" s="184" t="str">
        <f>IF(OR(変更届!Z47="",変更届!Z47="（使用時間選択・午前使用の施設に適用）"),"",CONCATENATE($G$2,6,5,6))</f>
        <v/>
      </c>
      <c r="M26" s="1059" t="str">
        <f>IF(M25="","",CONCATENATE($E$3,6,5,6))</f>
        <v/>
      </c>
      <c r="N26" s="1059"/>
      <c r="O26" s="184" t="str">
        <f>IF(O25="","",CONCATENATE($E$3,6,5,6))</f>
        <v/>
      </c>
      <c r="P26" s="184" t="str">
        <f>IF(P25="","",CONCATENATE($E$3,6,5,6))</f>
        <v/>
      </c>
      <c r="Q26" s="184" t="str">
        <f>IF(K26="","",CONCATENATE($E$3,6,5,6))</f>
        <v/>
      </c>
      <c r="S26" s="1037"/>
      <c r="T26" s="1039"/>
      <c r="U26" s="1041"/>
      <c r="V26" s="184" t="str">
        <f>IF(V25="","",CONCATENATE($G$2,6,5,6))</f>
        <v/>
      </c>
      <c r="W26" s="184" t="str">
        <f>IF(W25="","",CONCATENATE($G$2,6,5,6))</f>
        <v/>
      </c>
      <c r="X26" s="184" t="str">
        <f>IF(X25="","",CONCATENATE($G$2,6,5,6))</f>
        <v/>
      </c>
    </row>
    <row r="27" spans="1:24" ht="14.25" thickBot="1">
      <c r="A27" s="1048" t="s">
        <v>165</v>
      </c>
      <c r="B27" s="1050"/>
      <c r="C27" s="1051"/>
      <c r="D27" s="1050"/>
      <c r="E27" s="1054"/>
      <c r="F27" s="1040"/>
      <c r="G27" s="1057" t="str">
        <f>IF(OR(変更届!H49="",変更届!H49="（会議室選択）"),"",IF(変更届!H49="会議室１・２・３",3,IF(OR(変更届!H49="会議室１・２",変更届!H49="会議室１・３",変更届!H49="会議室２・３"),2,1)))</f>
        <v/>
      </c>
      <c r="H27" s="1058"/>
      <c r="I27" s="171" t="str">
        <f>IF(OR(変更届!N49="",変更届!N49="（会議室選択）"),"",IF(変更届!N49="会議室１・２・３",3,IF(OR(変更届!N49="会議室１・２",変更届!N49="会議室１・３",変更届!N49="会議室２・３"),2,1)))</f>
        <v/>
      </c>
      <c r="J27" s="171" t="str">
        <f>IF(OR(変更届!T49="",変更届!T49="（会議室選択）"),"",IF(変更届!T49="会議室１・２・３",3,IF(OR(変更届!T49="会議室１・２",変更届!T49="会議室１・３",変更届!T49="会議室２・３"),2,1)))</f>
        <v/>
      </c>
      <c r="K27" s="164"/>
      <c r="M27" s="1057" t="str">
        <f>G27</f>
        <v/>
      </c>
      <c r="N27" s="1058"/>
      <c r="O27" s="171" t="str">
        <f>I27</f>
        <v/>
      </c>
      <c r="P27" s="171" t="str">
        <f>J27</f>
        <v/>
      </c>
      <c r="Q27" s="164"/>
      <c r="V27" s="176"/>
      <c r="W27" s="176"/>
    </row>
    <row r="28" spans="1:24" ht="14.25" thickBot="1">
      <c r="A28" s="1049"/>
      <c r="B28" s="1052"/>
      <c r="C28" s="1053"/>
      <c r="D28" s="1052"/>
      <c r="E28" s="1055"/>
      <c r="F28" s="1056"/>
      <c r="G28" s="1059" t="str">
        <f>IF(G27="","",CONCATENATE($G$2,6,5,6))</f>
        <v/>
      </c>
      <c r="H28" s="1059"/>
      <c r="I28" s="184" t="str">
        <f>IF(I27="","",CONCATENATE($G$2,6,5,6))</f>
        <v/>
      </c>
      <c r="J28" s="184" t="str">
        <f>IF(J27="","",CONCATENATE($G$2,6,5,6))</f>
        <v/>
      </c>
      <c r="K28" s="184" t="str">
        <f>IF(OR(変更届!Z49="",変更届!Z49="（使用時間選択・午前使用の施設に適用）"),"",CONCATENATE($G$2,6,5,6))</f>
        <v/>
      </c>
      <c r="M28" s="1059" t="str">
        <f>IF(M27="","",CONCATENATE($E$3,6,5,6))</f>
        <v/>
      </c>
      <c r="N28" s="1059"/>
      <c r="O28" s="184" t="str">
        <f>IF(O27="","",CONCATENATE($E$3,6,5,6))</f>
        <v/>
      </c>
      <c r="P28" s="184" t="str">
        <f>IF(P27="","",CONCATENATE($E$3,6,5,6))</f>
        <v/>
      </c>
      <c r="Q28" s="184" t="str">
        <f>IF(K28="","",CONCATENATE($E$3,6,5,6))</f>
        <v/>
      </c>
      <c r="S28" t="s">
        <v>257</v>
      </c>
    </row>
    <row r="29" spans="1:24" ht="14.25" thickBot="1">
      <c r="A29" s="1048" t="s">
        <v>166</v>
      </c>
      <c r="B29" s="1050"/>
      <c r="C29" s="1051"/>
      <c r="D29" s="1050"/>
      <c r="E29" s="1054"/>
      <c r="F29" s="1040"/>
      <c r="G29" s="1057" t="str">
        <f>IF(OR(変更届!H51="",変更届!H51="（会議室選択）"),"",IF(変更届!H51="会議室１・２・３",3,IF(OR(変更届!H51="会議室１・２",変更届!H51="会議室１・３",変更届!H51="会議室２・３"),2,1)))</f>
        <v/>
      </c>
      <c r="H29" s="1058"/>
      <c r="I29" s="171" t="str">
        <f>IF(OR(変更届!N51="",変更届!N51="（会議室選択）"),"",IF(変更届!N51="会議室１・２・３",3,IF(OR(変更届!N51="会議室１・２",変更届!N51="会議室１・３",変更届!N51="会議室２・３"),2,1)))</f>
        <v/>
      </c>
      <c r="J29" s="171" t="str">
        <f>IF(OR(変更届!T51="",変更届!T51="（会議室選択）"),"",IF(変更届!T51="会議室１・２・３",3,IF(OR(変更届!T51="会議室１・２",変更届!T51="会議室１・３",変更届!T51="会議室２・３"),2,1)))</f>
        <v/>
      </c>
      <c r="K29" s="164"/>
      <c r="M29" s="1057" t="str">
        <f>G29</f>
        <v/>
      </c>
      <c r="N29" s="1058"/>
      <c r="O29" s="171" t="str">
        <f>I29</f>
        <v/>
      </c>
      <c r="P29" s="171" t="str">
        <f>J29</f>
        <v/>
      </c>
      <c r="Q29" s="164"/>
      <c r="S29" s="185" t="s">
        <v>153</v>
      </c>
      <c r="T29" s="185" t="s">
        <v>154</v>
      </c>
      <c r="U29" s="163" t="s">
        <v>97</v>
      </c>
      <c r="V29" s="185" t="s">
        <v>237</v>
      </c>
      <c r="W29" s="185" t="s">
        <v>239</v>
      </c>
      <c r="X29" s="185" t="s">
        <v>240</v>
      </c>
    </row>
    <row r="30" spans="1:24" ht="14.25" thickBot="1">
      <c r="A30" s="1049"/>
      <c r="B30" s="1052"/>
      <c r="C30" s="1053"/>
      <c r="D30" s="1052"/>
      <c r="E30" s="1055"/>
      <c r="F30" s="1056"/>
      <c r="G30" s="1059" t="str">
        <f>IF(G29="","",CONCATENATE($G$2,6,5,6))</f>
        <v/>
      </c>
      <c r="H30" s="1059"/>
      <c r="I30" s="184" t="str">
        <f>IF(I29="","",CONCATENATE($G$2,6,5,6))</f>
        <v/>
      </c>
      <c r="J30" s="184" t="str">
        <f>IF(J29="","",CONCATENATE($G$2,6,5,6))</f>
        <v/>
      </c>
      <c r="K30" s="184" t="str">
        <f>IF(OR(変更届!Z51="",変更届!Z51="（使用時間選択・午前使用の施設に適用）"),"",CONCATENATE($G$2,6,5,6))</f>
        <v/>
      </c>
      <c r="M30" s="1059" t="str">
        <f>IF(M29="","",CONCATENATE($E$3,6,5,6))</f>
        <v/>
      </c>
      <c r="N30" s="1059"/>
      <c r="O30" s="184" t="str">
        <f>IF(O29="","",CONCATENATE($E$3,6,5,6))</f>
        <v/>
      </c>
      <c r="P30" s="184" t="str">
        <f>IF(P29="","",CONCATENATE($E$3,6,5,6))</f>
        <v/>
      </c>
      <c r="Q30" s="184" t="str">
        <f>IF(K30="","",CONCATENATE($E$3,6,5,6))</f>
        <v/>
      </c>
      <c r="S30" s="1036" t="str">
        <f>IF(延長使用届!A38&lt;&gt;"",WEEKDAY(延長使用届!A38,1),"")</f>
        <v/>
      </c>
      <c r="T30" s="1038" t="str">
        <f>IF(延長使用届!A38&lt;&gt;"",IF(COUNTIF(祝日!#REF!,延長使用届!A38),1,0),"")</f>
        <v/>
      </c>
      <c r="U30" s="1040"/>
      <c r="V30" s="171" t="str">
        <f>IF(延長使用届!H38="","",IF(延長使用届!H38="会議室１・２・３",3,IF(OR(延長使用届!H38="会議室１・２",延長使用届!H38="会議室１・３",延長使用届!H38="会議室２・３"),2,1)))</f>
        <v/>
      </c>
      <c r="W30" s="171" t="str">
        <f>IF(延長使用届!N38="","",IF(延長使用届!N38="会議室１・２・３",3,IF(OR(延長使用届!N38="会議室１・２",延長使用届!N38="会議室１・３",延長使用届!I38="会議室２・３"),2,1)))</f>
        <v/>
      </c>
      <c r="X30" s="171" t="str">
        <f>IF(延長使用届!T38="","",IF(延長使用届!T38="会議室１・２・３",3,IF(OR(延長使用届!T38="会議室１・２",延長使用届!T38="会議室１・３",延長使用届!T38="会議室２・３"),2,1)))</f>
        <v/>
      </c>
    </row>
    <row r="31" spans="1:24" ht="14.25" thickBot="1">
      <c r="A31" s="1048" t="s">
        <v>167</v>
      </c>
      <c r="B31" s="1050"/>
      <c r="C31" s="1051"/>
      <c r="D31" s="1050"/>
      <c r="E31" s="1054"/>
      <c r="F31" s="1040"/>
      <c r="G31" s="1057" t="str">
        <f>IF(OR(変更届!H53="",変更届!H53="（会議室選択）"),"",IF(変更届!H53="会議室１・２・３",3,IF(OR(変更届!H53="会議室１・２",変更届!H53="会議室１・３",変更届!H53="会議室２・３"),2,1)))</f>
        <v/>
      </c>
      <c r="H31" s="1058"/>
      <c r="I31" s="171" t="str">
        <f>IF(OR(変更届!N53="",変更届!N53="（会議室選択）"),"",IF(変更届!N53="会議室１・２・３",3,IF(OR(変更届!N53="会議室１・２",変更届!N53="会議室１・３",変更届!N53="会議室２・３"),2,1)))</f>
        <v/>
      </c>
      <c r="J31" s="171" t="str">
        <f>IF(OR(変更届!T53="",変更届!T53="（会議室選択）"),"",IF(変更届!T53="会議室１・２・３",3,IF(OR(変更届!T53="会議室１・２",変更届!T53="会議室１・３",変更届!T53="会議室２・３"),2,1)))</f>
        <v/>
      </c>
      <c r="K31" s="164"/>
      <c r="M31" s="1057" t="str">
        <f>G31</f>
        <v/>
      </c>
      <c r="N31" s="1058"/>
      <c r="O31" s="171" t="str">
        <f>I31</f>
        <v/>
      </c>
      <c r="P31" s="171" t="str">
        <f>J31</f>
        <v/>
      </c>
      <c r="Q31" s="164"/>
      <c r="S31" s="1037"/>
      <c r="T31" s="1039"/>
      <c r="U31" s="1041"/>
      <c r="V31" s="184" t="str">
        <f>IF(V30="","",CONCATENATE(1,6,5,6))</f>
        <v/>
      </c>
      <c r="W31" s="184" t="str">
        <f>IF(W30="","",CONCATENATE(1,6,5,6))</f>
        <v/>
      </c>
      <c r="X31" s="184" t="str">
        <f>IF(X30="","",CONCATENATE(1,6,5,6))</f>
        <v/>
      </c>
    </row>
    <row r="32" spans="1:24" ht="14.25" thickBot="1">
      <c r="A32" s="1049"/>
      <c r="B32" s="1052"/>
      <c r="C32" s="1053"/>
      <c r="D32" s="1052"/>
      <c r="E32" s="1055"/>
      <c r="F32" s="1056"/>
      <c r="G32" s="1059" t="str">
        <f>IF(G31="","",CONCATENATE($G$2,6,5,6))</f>
        <v/>
      </c>
      <c r="H32" s="1059"/>
      <c r="I32" s="184" t="str">
        <f>IF(I31="","",CONCATENATE($G$2,6,5,6))</f>
        <v/>
      </c>
      <c r="J32" s="184" t="str">
        <f>IF(J31="","",CONCATENATE($G$2,6,5,6))</f>
        <v/>
      </c>
      <c r="K32" s="184" t="str">
        <f>IF(OR(変更届!Z53="",変更届!Z53="（使用時間選択・午前使用の施設に適用）"),"",CONCATENATE($G$2,6,5,6))</f>
        <v/>
      </c>
      <c r="M32" s="1059" t="str">
        <f>IF(M31="","",CONCATENATE($E$3,6,5,6))</f>
        <v/>
      </c>
      <c r="N32" s="1059"/>
      <c r="O32" s="184" t="str">
        <f>IF(O31="","",CONCATENATE($E$3,6,5,6))</f>
        <v/>
      </c>
      <c r="P32" s="184" t="str">
        <f>IF(P31="","",CONCATENATE($E$3,6,5,6))</f>
        <v/>
      </c>
      <c r="Q32" s="184" t="str">
        <f>IF(K32="","",CONCATENATE($E$3,6,5,6))</f>
        <v/>
      </c>
      <c r="V32" s="177"/>
      <c r="W32" s="177"/>
    </row>
    <row r="33" spans="1:24" ht="14.25" thickBot="1">
      <c r="S33" t="s">
        <v>258</v>
      </c>
    </row>
    <row r="34" spans="1:24">
      <c r="A34" s="185" t="s">
        <v>6</v>
      </c>
      <c r="B34" s="1060" t="s">
        <v>153</v>
      </c>
      <c r="C34" s="1060"/>
      <c r="D34" s="1060" t="s">
        <v>154</v>
      </c>
      <c r="E34" s="1061"/>
      <c r="F34" s="163" t="s">
        <v>97</v>
      </c>
      <c r="G34" s="1062" t="s">
        <v>50</v>
      </c>
      <c r="H34" s="1060"/>
      <c r="I34" s="185" t="s">
        <v>52</v>
      </c>
      <c r="J34" s="185" t="s">
        <v>54</v>
      </c>
      <c r="K34" s="185" t="s">
        <v>162</v>
      </c>
      <c r="M34" s="1062" t="s">
        <v>50</v>
      </c>
      <c r="N34" s="1060"/>
      <c r="O34" s="185" t="s">
        <v>52</v>
      </c>
      <c r="P34" s="185" t="s">
        <v>54</v>
      </c>
      <c r="Q34" s="185" t="s">
        <v>162</v>
      </c>
      <c r="S34" s="185" t="s">
        <v>153</v>
      </c>
      <c r="T34" s="185" t="s">
        <v>154</v>
      </c>
      <c r="U34" s="163" t="s">
        <v>97</v>
      </c>
      <c r="V34" s="185" t="s">
        <v>237</v>
      </c>
      <c r="W34" s="185" t="s">
        <v>239</v>
      </c>
      <c r="X34" s="185" t="s">
        <v>240</v>
      </c>
    </row>
    <row r="35" spans="1:24" ht="14.25" thickBot="1">
      <c r="A35" s="1048" t="s">
        <v>164</v>
      </c>
      <c r="B35" s="1050"/>
      <c r="C35" s="1051"/>
      <c r="D35" s="1050"/>
      <c r="E35" s="1054"/>
      <c r="F35" s="1040"/>
      <c r="G35" s="1057" t="str">
        <f>IF(変更届!AK48=TRUE,1,"")</f>
        <v/>
      </c>
      <c r="H35" s="1058"/>
      <c r="I35" s="171" t="str">
        <f>IF(変更届!AL48=TRUE,1,"")</f>
        <v/>
      </c>
      <c r="J35" s="171" t="str">
        <f>IF(変更届!AM48=TRUE,1,"")</f>
        <v/>
      </c>
      <c r="K35" s="164"/>
      <c r="M35" s="1057" t="str">
        <f>G35</f>
        <v/>
      </c>
      <c r="N35" s="1058"/>
      <c r="O35" s="171" t="str">
        <f>I35</f>
        <v/>
      </c>
      <c r="P35" s="171" t="str">
        <f>J35</f>
        <v/>
      </c>
      <c r="Q35" s="164"/>
      <c r="S35" s="1036" t="str">
        <f>IF(延長使用届!A38&lt;&gt;"",WEEKDAY(延長使用届!A38,1),"")</f>
        <v/>
      </c>
      <c r="T35" s="1038" t="str">
        <f>IF(延長使用届!A38&lt;&gt;"",IF(COUNTIF(祝日!#REF!,延長使用届!A38),1,0),"")</f>
        <v/>
      </c>
      <c r="U35" s="1040"/>
      <c r="V35" s="171" t="str">
        <f>IF(延長使用届!AL39=TRUE,5,"")</f>
        <v/>
      </c>
      <c r="W35" s="171" t="str">
        <f>IF(延長使用届!AM39=TRUE,5,"")</f>
        <v/>
      </c>
      <c r="X35" s="171" t="str">
        <f>IF(延長使用届!AN39=TRUE,5,"")</f>
        <v/>
      </c>
    </row>
    <row r="36" spans="1:24" ht="14.25" thickBot="1">
      <c r="A36" s="1049"/>
      <c r="B36" s="1052"/>
      <c r="C36" s="1053"/>
      <c r="D36" s="1052"/>
      <c r="E36" s="1055"/>
      <c r="F36" s="1056"/>
      <c r="G36" s="1059" t="str">
        <f>IF(G35=1,CONCATENATE($G$2,6,5,7),"")</f>
        <v/>
      </c>
      <c r="H36" s="1059"/>
      <c r="I36" s="184" t="str">
        <f>IF(I35=1,CONCATENATE($G$2,6,5,7),"")</f>
        <v/>
      </c>
      <c r="J36" s="184" t="str">
        <f>IF(J35=1,CONCATENATE($G$2,6,5,7),"")</f>
        <v/>
      </c>
      <c r="K36" s="184" t="str">
        <f>IF(変更届!AO48=TRUE,CONCATENATE($G$2,6,5,7),"")</f>
        <v/>
      </c>
      <c r="M36" s="1059" t="str">
        <f>IF(M35=1,CONCATENATE($E$3,6,5,7),"")</f>
        <v/>
      </c>
      <c r="N36" s="1059"/>
      <c r="O36" s="184" t="str">
        <f>IF(O35=1,CONCATENATE($E$3,6,5,7),"")</f>
        <v/>
      </c>
      <c r="P36" s="184" t="str">
        <f>IF(P35=1,CONCATENATE($E$3,6,5,7),"")</f>
        <v/>
      </c>
      <c r="Q36" s="184" t="str">
        <f>IF(変更届!AO48=TRUE,CONCATENATE($E$3,6,5,7),"")</f>
        <v/>
      </c>
      <c r="S36" s="1037"/>
      <c r="T36" s="1039"/>
      <c r="U36" s="1041"/>
      <c r="V36" s="184" t="str">
        <f>IF(V35="","",CONCATENATE($G$2,6,$V$35,7))</f>
        <v/>
      </c>
      <c r="W36" s="184" t="str">
        <f>IF(W35="","",CONCATENATE($G$2,6,$W$35,7))</f>
        <v/>
      </c>
      <c r="X36" s="184" t="str">
        <f>IF(X35="","",CONCATENATE($G$2,6,$X$35,7))</f>
        <v/>
      </c>
    </row>
    <row r="37" spans="1:24" ht="14.25" thickBot="1">
      <c r="A37" s="1048" t="s">
        <v>165</v>
      </c>
      <c r="B37" s="1050"/>
      <c r="C37" s="1051"/>
      <c r="D37" s="1050"/>
      <c r="E37" s="1054"/>
      <c r="F37" s="1040"/>
      <c r="G37" s="1057" t="str">
        <f>IF(変更届!AK50=TRUE,1,"")</f>
        <v/>
      </c>
      <c r="H37" s="1058"/>
      <c r="I37" s="171" t="str">
        <f>IF(変更届!AL50=TRUE,1,"")</f>
        <v/>
      </c>
      <c r="J37" s="171" t="str">
        <f>IF(変更届!AM50=TRUE,1,"")</f>
        <v/>
      </c>
      <c r="K37" s="164"/>
      <c r="M37" s="1057" t="str">
        <f>G37</f>
        <v/>
      </c>
      <c r="N37" s="1058"/>
      <c r="O37" s="171" t="str">
        <f>I37</f>
        <v/>
      </c>
      <c r="P37" s="171" t="str">
        <f>J37</f>
        <v/>
      </c>
      <c r="Q37" s="164"/>
      <c r="V37" s="177"/>
      <c r="W37" s="177"/>
    </row>
    <row r="38" spans="1:24" ht="14.25" thickBot="1">
      <c r="A38" s="1049"/>
      <c r="B38" s="1052"/>
      <c r="C38" s="1053"/>
      <c r="D38" s="1052"/>
      <c r="E38" s="1055"/>
      <c r="F38" s="1056"/>
      <c r="G38" s="1059" t="str">
        <f>IF(G37=1,CONCATENATE($G$2,6,5,7),"")</f>
        <v/>
      </c>
      <c r="H38" s="1059"/>
      <c r="I38" s="184" t="str">
        <f>IF(I37=1,CONCATENATE($G$2,6,5,7),"")</f>
        <v/>
      </c>
      <c r="J38" s="184" t="str">
        <f>IF(J37=1,CONCATENATE($G$2,6,5,7),"")</f>
        <v/>
      </c>
      <c r="K38" s="184" t="str">
        <f>IF(変更届!AO50=TRUE,CONCATENATE($G$2,6,5,7),"")</f>
        <v/>
      </c>
      <c r="M38" s="1059" t="str">
        <f>IF(M37=1,CONCATENATE($E$3,6,5,7),"")</f>
        <v/>
      </c>
      <c r="N38" s="1059"/>
      <c r="O38" s="184" t="str">
        <f>IF(O37=1,CONCATENATE($E$3,6,5,7),"")</f>
        <v/>
      </c>
      <c r="P38" s="184" t="str">
        <f>IF(P37=1,CONCATENATE($E$3,6,5,7),"")</f>
        <v/>
      </c>
      <c r="Q38" s="184" t="str">
        <f>IF(変更届!AO50=TRUE,CONCATENATE($E$3,6,5,7),"")</f>
        <v/>
      </c>
      <c r="S38" t="s">
        <v>259</v>
      </c>
    </row>
    <row r="39" spans="1:24" ht="14.25" thickBot="1">
      <c r="A39" s="1048" t="s">
        <v>166</v>
      </c>
      <c r="B39" s="1050"/>
      <c r="C39" s="1051"/>
      <c r="D39" s="1050"/>
      <c r="E39" s="1054"/>
      <c r="F39" s="1040"/>
      <c r="G39" s="1057" t="str">
        <f>IF(変更届!AK52=TRUE,1,"")</f>
        <v/>
      </c>
      <c r="H39" s="1058"/>
      <c r="I39" s="171" t="str">
        <f>IF(変更届!AL52=TRUE,1,"")</f>
        <v/>
      </c>
      <c r="J39" s="171" t="str">
        <f>IF(変更届!AM52=TRUE,1,"")</f>
        <v/>
      </c>
      <c r="K39" s="164"/>
      <c r="M39" s="1057" t="str">
        <f>O39</f>
        <v/>
      </c>
      <c r="N39" s="1058"/>
      <c r="O39" s="171" t="str">
        <f>I39</f>
        <v/>
      </c>
      <c r="P39" s="171" t="str">
        <f>J39</f>
        <v/>
      </c>
      <c r="Q39" s="164"/>
      <c r="S39" s="185" t="s">
        <v>153</v>
      </c>
      <c r="T39" s="185" t="s">
        <v>154</v>
      </c>
      <c r="U39" s="163" t="s">
        <v>97</v>
      </c>
      <c r="V39" s="185" t="s">
        <v>237</v>
      </c>
      <c r="W39" s="185" t="s">
        <v>239</v>
      </c>
      <c r="X39" s="185" t="s">
        <v>240</v>
      </c>
    </row>
    <row r="40" spans="1:24" ht="14.25" thickBot="1">
      <c r="A40" s="1049"/>
      <c r="B40" s="1052"/>
      <c r="C40" s="1053"/>
      <c r="D40" s="1052"/>
      <c r="E40" s="1055"/>
      <c r="F40" s="1056"/>
      <c r="G40" s="1059" t="str">
        <f>IF(G39=1,CONCATENATE($G$2,6,5,7),"")</f>
        <v/>
      </c>
      <c r="H40" s="1059"/>
      <c r="I40" s="184" t="str">
        <f>IF(I39=1,CONCATENATE($G$2,6,5,7),"")</f>
        <v/>
      </c>
      <c r="J40" s="184" t="str">
        <f>IF(J39=1,CONCATENATE($G$2,6,5,7),"")</f>
        <v/>
      </c>
      <c r="K40" s="184" t="str">
        <f>IF(変更届!AO52=TRUE,CONCATENATE($G$2,6,5,7),"")</f>
        <v/>
      </c>
      <c r="M40" s="1059" t="str">
        <f>IF(M39=1,CONCATENATE($E$3,6,5,7),"")</f>
        <v/>
      </c>
      <c r="N40" s="1059"/>
      <c r="O40" s="184" t="str">
        <f>IF(O39=1,CONCATENATE($E$3,6,5,7),"")</f>
        <v/>
      </c>
      <c r="P40" s="184" t="str">
        <f>IF(P39=1,CONCATENATE($E$3,6,5,7),"")</f>
        <v/>
      </c>
      <c r="Q40" s="184" t="str">
        <f>IF(変更届!AO52=TRUE,CONCATENATE($E$3,6,5,7),"")</f>
        <v/>
      </c>
      <c r="S40" s="1036" t="str">
        <f>IF(延長使用届!A38&lt;&gt;"",WEEKDAY(延長使用届!A38,1),"")</f>
        <v/>
      </c>
      <c r="T40" s="1038" t="str">
        <f>IF(延長使用届!A38&lt;&gt;"",IF(COUNTIF(祝日!#REF!,延長使用届!A38),1,0),"")</f>
        <v/>
      </c>
      <c r="U40" s="1040"/>
      <c r="V40" s="171" t="str">
        <f>IF(延長使用届!AL39=TRUE,5,"")</f>
        <v/>
      </c>
      <c r="W40" s="171" t="str">
        <f>IF(延長使用届!AM39=TRUE,5,"")</f>
        <v/>
      </c>
      <c r="X40" s="171" t="str">
        <f>IF(延長使用届!AN39=TRUE,5,"")</f>
        <v/>
      </c>
    </row>
    <row r="41" spans="1:24" ht="14.25" thickBot="1">
      <c r="A41" s="1048" t="s">
        <v>167</v>
      </c>
      <c r="B41" s="1050"/>
      <c r="C41" s="1051"/>
      <c r="D41" s="1050"/>
      <c r="E41" s="1054"/>
      <c r="F41" s="1040"/>
      <c r="G41" s="1057" t="str">
        <f>IF(変更届!AK54=TRUE,1,"")</f>
        <v/>
      </c>
      <c r="H41" s="1058"/>
      <c r="I41" s="171" t="str">
        <f>IF(変更届!AL54=TRUE,1,"")</f>
        <v/>
      </c>
      <c r="J41" s="171" t="str">
        <f>IF(変更届!AM54=TRUE,1,"")</f>
        <v/>
      </c>
      <c r="K41" s="164"/>
      <c r="M41" s="1057" t="str">
        <f>G41</f>
        <v/>
      </c>
      <c r="N41" s="1058"/>
      <c r="O41" s="171" t="str">
        <f>I41</f>
        <v/>
      </c>
      <c r="P41" s="171" t="str">
        <f>J41</f>
        <v/>
      </c>
      <c r="Q41" s="164"/>
      <c r="S41" s="1037"/>
      <c r="T41" s="1039"/>
      <c r="U41" s="1041"/>
      <c r="V41" s="184" t="str">
        <f>IF(V40="","",CONCATENATE(1,6,$V$40,7))</f>
        <v/>
      </c>
      <c r="W41" s="184" t="str">
        <f>IF(W40="","",CONCATENATE(1,6,$W$40,7))</f>
        <v/>
      </c>
      <c r="X41" s="184" t="str">
        <f>IF(X40="","",CONCATENATE(1,6,$X$40,7))</f>
        <v/>
      </c>
    </row>
    <row r="42" spans="1:24" ht="14.25" thickBot="1">
      <c r="A42" s="1049"/>
      <c r="B42" s="1052"/>
      <c r="C42" s="1053"/>
      <c r="D42" s="1052"/>
      <c r="E42" s="1055"/>
      <c r="F42" s="1056"/>
      <c r="G42" s="1059" t="str">
        <f>IF(G41=1,CONCATENATE($G$2,6,5,7),"")</f>
        <v/>
      </c>
      <c r="H42" s="1059"/>
      <c r="I42" s="184" t="str">
        <f>IF(I41=1,CONCATENATE($G$2,6,5,7),"")</f>
        <v/>
      </c>
      <c r="J42" s="184" t="str">
        <f>IF(J41=1,CONCATENATE($G$2,6,5,7),"")</f>
        <v/>
      </c>
      <c r="K42" s="184" t="str">
        <f>IF(変更届!AO54=TRUE,CONCATENATE($G$2,6,5,7),"")</f>
        <v/>
      </c>
      <c r="M42" s="1059" t="str">
        <f>IF(M41=1,CONCATENATE($E$3,6,5,7),"")</f>
        <v/>
      </c>
      <c r="N42" s="1059"/>
      <c r="O42" s="184" t="str">
        <f>IF(O41=1,CONCATENATE($E$3,6,5,7),"")</f>
        <v/>
      </c>
      <c r="P42" s="184" t="str">
        <f>IF(P41=1,CONCATENATE($E$3,6,5,7),"")</f>
        <v/>
      </c>
      <c r="Q42" s="184" t="str">
        <f>IF(変更届!AO54=TRUE,CONCATENATE($E$3,6,5,7),"")</f>
        <v/>
      </c>
    </row>
    <row r="44" spans="1:24">
      <c r="F44" s="188" t="s">
        <v>291</v>
      </c>
      <c r="G44" s="189">
        <f>MAX(G25,I25,J25,G27,I27,J27,G29,I29,J29,G31,I31,J31)</f>
        <v>0</v>
      </c>
    </row>
  </sheetData>
  <mergeCells count="149">
    <mergeCell ref="S35:S36"/>
    <mergeCell ref="T35:T36"/>
    <mergeCell ref="U35:U36"/>
    <mergeCell ref="S40:S41"/>
    <mergeCell ref="T40:T41"/>
    <mergeCell ref="U40:U41"/>
    <mergeCell ref="U15:U16"/>
    <mergeCell ref="S20:S21"/>
    <mergeCell ref="T20:T21"/>
    <mergeCell ref="U20:U21"/>
    <mergeCell ref="S25:S26"/>
    <mergeCell ref="T25:T26"/>
    <mergeCell ref="U25:U26"/>
    <mergeCell ref="S30:S31"/>
    <mergeCell ref="T30:T31"/>
    <mergeCell ref="U30:U31"/>
    <mergeCell ref="E1:F1"/>
    <mergeCell ref="B2:C2"/>
    <mergeCell ref="E2:F2"/>
    <mergeCell ref="H2:I2"/>
    <mergeCell ref="C3:D3"/>
    <mergeCell ref="F3:G3"/>
    <mergeCell ref="I3:J3"/>
    <mergeCell ref="S15:S16"/>
    <mergeCell ref="T15:T16"/>
    <mergeCell ref="I6:J6"/>
    <mergeCell ref="C7:D7"/>
    <mergeCell ref="F7:G7"/>
    <mergeCell ref="I7:J7"/>
    <mergeCell ref="C4:D4"/>
    <mergeCell ref="F4:G4"/>
    <mergeCell ref="I4:J4"/>
    <mergeCell ref="C5:D5"/>
    <mergeCell ref="F5:G5"/>
    <mergeCell ref="I5:J5"/>
    <mergeCell ref="C8:D8"/>
    <mergeCell ref="F8:G8"/>
    <mergeCell ref="C9:D9"/>
    <mergeCell ref="C10:D10"/>
    <mergeCell ref="B14:C14"/>
    <mergeCell ref="D14:E14"/>
    <mergeCell ref="G14:H14"/>
    <mergeCell ref="C6:D6"/>
    <mergeCell ref="F6:G6"/>
    <mergeCell ref="G16:H16"/>
    <mergeCell ref="M16:N16"/>
    <mergeCell ref="A17:A18"/>
    <mergeCell ref="B17:C18"/>
    <mergeCell ref="D17:E18"/>
    <mergeCell ref="F17:F18"/>
    <mergeCell ref="G17:H17"/>
    <mergeCell ref="M14:N14"/>
    <mergeCell ref="A15:A16"/>
    <mergeCell ref="B15:C16"/>
    <mergeCell ref="D15:E16"/>
    <mergeCell ref="F15:F16"/>
    <mergeCell ref="G15:H15"/>
    <mergeCell ref="M15:N15"/>
    <mergeCell ref="M17:N17"/>
    <mergeCell ref="G18:H18"/>
    <mergeCell ref="M18:N18"/>
    <mergeCell ref="B24:C24"/>
    <mergeCell ref="D24:E24"/>
    <mergeCell ref="G24:H24"/>
    <mergeCell ref="M24:N24"/>
    <mergeCell ref="M20:N20"/>
    <mergeCell ref="A21:A22"/>
    <mergeCell ref="B21:C22"/>
    <mergeCell ref="D21:E22"/>
    <mergeCell ref="F21:F22"/>
    <mergeCell ref="G21:H21"/>
    <mergeCell ref="M21:N21"/>
    <mergeCell ref="A19:A20"/>
    <mergeCell ref="B19:C20"/>
    <mergeCell ref="D19:E20"/>
    <mergeCell ref="F19:F20"/>
    <mergeCell ref="G19:H19"/>
    <mergeCell ref="M19:N19"/>
    <mergeCell ref="G20:H20"/>
    <mergeCell ref="G22:H22"/>
    <mergeCell ref="M22:N22"/>
    <mergeCell ref="G26:H26"/>
    <mergeCell ref="M26:N26"/>
    <mergeCell ref="A27:A28"/>
    <mergeCell ref="B27:C28"/>
    <mergeCell ref="D27:E28"/>
    <mergeCell ref="F27:F28"/>
    <mergeCell ref="G27:H27"/>
    <mergeCell ref="A25:A26"/>
    <mergeCell ref="B25:C26"/>
    <mergeCell ref="D25:E26"/>
    <mergeCell ref="F25:F26"/>
    <mergeCell ref="G25:H25"/>
    <mergeCell ref="M25:N25"/>
    <mergeCell ref="M27:N27"/>
    <mergeCell ref="G28:H28"/>
    <mergeCell ref="M28:N28"/>
    <mergeCell ref="B34:C34"/>
    <mergeCell ref="D34:E34"/>
    <mergeCell ref="G34:H34"/>
    <mergeCell ref="M34:N34"/>
    <mergeCell ref="M30:N30"/>
    <mergeCell ref="A31:A32"/>
    <mergeCell ref="B31:C32"/>
    <mergeCell ref="D31:E32"/>
    <mergeCell ref="F31:F32"/>
    <mergeCell ref="G31:H31"/>
    <mergeCell ref="M31:N31"/>
    <mergeCell ref="A29:A30"/>
    <mergeCell ref="B29:C30"/>
    <mergeCell ref="D29:E30"/>
    <mergeCell ref="F29:F30"/>
    <mergeCell ref="G29:H29"/>
    <mergeCell ref="M29:N29"/>
    <mergeCell ref="G30:H30"/>
    <mergeCell ref="G32:H32"/>
    <mergeCell ref="M32:N32"/>
    <mergeCell ref="G36:H36"/>
    <mergeCell ref="M36:N36"/>
    <mergeCell ref="A37:A38"/>
    <mergeCell ref="B37:C38"/>
    <mergeCell ref="D37:E38"/>
    <mergeCell ref="F37:F38"/>
    <mergeCell ref="G37:H37"/>
    <mergeCell ref="A35:A36"/>
    <mergeCell ref="B35:C36"/>
    <mergeCell ref="D35:E36"/>
    <mergeCell ref="F35:F36"/>
    <mergeCell ref="G35:H35"/>
    <mergeCell ref="M35:N35"/>
    <mergeCell ref="M37:N37"/>
    <mergeCell ref="G38:H38"/>
    <mergeCell ref="M38:N38"/>
    <mergeCell ref="A39:A40"/>
    <mergeCell ref="B39:C40"/>
    <mergeCell ref="D39:E40"/>
    <mergeCell ref="F39:F40"/>
    <mergeCell ref="G39:H39"/>
    <mergeCell ref="M39:N39"/>
    <mergeCell ref="G40:H40"/>
    <mergeCell ref="G42:H42"/>
    <mergeCell ref="M42:N42"/>
    <mergeCell ref="M40:N40"/>
    <mergeCell ref="A41:A42"/>
    <mergeCell ref="B41:C42"/>
    <mergeCell ref="D41:E42"/>
    <mergeCell ref="F41:F42"/>
    <mergeCell ref="G41:H41"/>
    <mergeCell ref="M41:N41"/>
  </mergeCells>
  <phoneticPr fontId="4"/>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A57"/>
  <sheetViews>
    <sheetView view="pageBreakPreview" zoomScale="80" zoomScaleNormal="100" zoomScaleSheetLayoutView="80" workbookViewId="0">
      <selection activeCell="H26" sqref="A23:AJ43"/>
    </sheetView>
  </sheetViews>
  <sheetFormatPr defaultColWidth="2.625" defaultRowHeight="12"/>
  <cols>
    <col min="1" max="41" width="2.625" style="420"/>
    <col min="42" max="53" width="3.625" style="420" customWidth="1"/>
    <col min="54" max="16384" width="2.625" style="420"/>
  </cols>
  <sheetData>
    <row r="1" spans="1:35" s="379" customFormat="1" ht="12" customHeight="1">
      <c r="A1" s="379" t="s">
        <v>272</v>
      </c>
      <c r="L1" s="416"/>
      <c r="M1" s="416"/>
      <c r="N1" s="416"/>
      <c r="O1" s="416"/>
      <c r="P1" s="416"/>
      <c r="Q1" s="416"/>
      <c r="R1" s="416"/>
      <c r="X1" s="416"/>
      <c r="Y1" s="416"/>
      <c r="Z1" s="1341" t="s">
        <v>405</v>
      </c>
      <c r="AA1" s="1342"/>
      <c r="AB1" s="1343"/>
      <c r="AC1" s="1341" t="s">
        <v>13</v>
      </c>
      <c r="AD1" s="1342"/>
      <c r="AE1" s="1343"/>
      <c r="AF1" s="1438" t="s">
        <v>312</v>
      </c>
      <c r="AG1" s="1438"/>
      <c r="AH1" s="1438"/>
      <c r="AI1" s="1438"/>
    </row>
    <row r="2" spans="1:35" s="379" customFormat="1" ht="12" customHeight="1">
      <c r="L2" s="416"/>
      <c r="M2" s="416"/>
      <c r="N2" s="416"/>
      <c r="O2" s="416"/>
      <c r="P2" s="416"/>
      <c r="Q2" s="416"/>
      <c r="R2" s="416"/>
      <c r="X2" s="416"/>
      <c r="Y2" s="416"/>
      <c r="Z2" s="1344"/>
      <c r="AA2" s="1344"/>
      <c r="AB2" s="1344"/>
      <c r="AC2" s="1345"/>
      <c r="AD2" s="1346"/>
      <c r="AE2" s="1347"/>
      <c r="AF2" s="1439" t="str">
        <f>IF(OR(内訳書!L2="○",内訳書!L2="◎"),内訳書!H2,"")&amp;IF('内訳書 (変更）'!I2="","",'内訳書 (変更）'!I2)</f>
        <v/>
      </c>
      <c r="AG2" s="1439"/>
      <c r="AH2" s="1439"/>
      <c r="AI2" s="1439"/>
    </row>
    <row r="3" spans="1:35" s="379" customFormat="1">
      <c r="L3" s="416"/>
      <c r="M3" s="416"/>
      <c r="N3" s="416"/>
      <c r="O3" s="416"/>
      <c r="P3" s="416"/>
      <c r="Q3" s="416"/>
      <c r="R3" s="416"/>
      <c r="X3" s="416"/>
      <c r="Y3" s="416"/>
      <c r="Z3" s="1344"/>
      <c r="AA3" s="1344"/>
      <c r="AB3" s="1344"/>
      <c r="AC3" s="1348"/>
      <c r="AD3" s="1349"/>
      <c r="AE3" s="1350"/>
      <c r="AF3" s="1439"/>
      <c r="AG3" s="1439"/>
      <c r="AH3" s="1439"/>
      <c r="AI3" s="1439"/>
    </row>
    <row r="4" spans="1:35" s="379" customFormat="1">
      <c r="E4" s="376"/>
      <c r="Z4" s="1344"/>
      <c r="AA4" s="1344"/>
      <c r="AB4" s="1344"/>
      <c r="AC4" s="1351"/>
      <c r="AD4" s="1352"/>
      <c r="AE4" s="1353"/>
      <c r="AF4" s="1439"/>
      <c r="AG4" s="1439"/>
      <c r="AH4" s="1439"/>
      <c r="AI4" s="1439"/>
    </row>
    <row r="5" spans="1:35" s="379" customFormat="1">
      <c r="E5" s="376"/>
    </row>
    <row r="6" spans="1:35" s="379" customFormat="1" ht="17.25">
      <c r="A6" s="1317" t="s">
        <v>293</v>
      </c>
      <c r="B6" s="1317"/>
      <c r="C6" s="1317"/>
      <c r="D6" s="1317"/>
      <c r="E6" s="1317"/>
      <c r="F6" s="1317"/>
      <c r="G6" s="1317"/>
      <c r="H6" s="1317"/>
      <c r="I6" s="1317"/>
      <c r="J6" s="1317"/>
      <c r="K6" s="1317"/>
      <c r="L6" s="1317"/>
      <c r="M6" s="1317"/>
      <c r="N6" s="1317"/>
      <c r="O6" s="1317"/>
      <c r="P6" s="1317"/>
      <c r="Q6" s="1317"/>
      <c r="R6" s="1317"/>
      <c r="S6" s="1317"/>
      <c r="T6" s="1317"/>
      <c r="U6" s="1317"/>
      <c r="V6" s="1317"/>
      <c r="W6" s="1317"/>
      <c r="X6" s="1317"/>
      <c r="Y6" s="1317"/>
      <c r="Z6" s="1317"/>
      <c r="AA6" s="1317"/>
      <c r="AB6" s="1317"/>
      <c r="AC6" s="1317"/>
      <c r="AD6" s="1317"/>
      <c r="AE6" s="1317"/>
      <c r="AF6" s="1317"/>
      <c r="AG6" s="1317"/>
      <c r="AH6" s="1317"/>
      <c r="AI6" s="1317"/>
    </row>
    <row r="7" spans="1:35" s="379" customFormat="1">
      <c r="E7" s="376"/>
      <c r="L7" s="416"/>
      <c r="M7" s="416"/>
      <c r="N7" s="416"/>
      <c r="O7" s="416"/>
      <c r="P7" s="416"/>
      <c r="Q7" s="416"/>
      <c r="R7" s="416"/>
    </row>
    <row r="8" spans="1:35" s="379" customFormat="1">
      <c r="A8" s="417"/>
      <c r="B8" s="417"/>
      <c r="C8" s="417"/>
      <c r="D8" s="417"/>
      <c r="E8" s="417"/>
      <c r="F8" s="417"/>
      <c r="G8" s="417"/>
      <c r="H8" s="417"/>
      <c r="I8" s="417"/>
      <c r="J8" s="417"/>
      <c r="K8" s="417"/>
      <c r="L8" s="417"/>
      <c r="M8" s="417"/>
      <c r="N8" s="417"/>
      <c r="O8" s="417"/>
      <c r="P8" s="417"/>
      <c r="Q8" s="417"/>
      <c r="R8" s="417"/>
      <c r="S8" s="417"/>
      <c r="T8" s="417"/>
      <c r="U8" s="417"/>
      <c r="V8" s="417"/>
      <c r="W8" s="417"/>
      <c r="X8" s="417"/>
      <c r="Y8" s="417"/>
      <c r="Z8" s="417"/>
      <c r="AA8" s="417"/>
      <c r="AB8" s="417"/>
      <c r="AC8" s="417"/>
      <c r="AD8" s="417"/>
      <c r="AE8" s="417"/>
      <c r="AF8" s="417"/>
      <c r="AG8" s="417"/>
      <c r="AH8" s="417"/>
      <c r="AI8" s="417"/>
    </row>
    <row r="9" spans="1:35" s="379" customFormat="1" ht="15" thickBot="1">
      <c r="A9" s="418" t="s">
        <v>32</v>
      </c>
      <c r="B9" s="418"/>
      <c r="C9" s="418"/>
      <c r="D9" s="418"/>
      <c r="E9" s="418"/>
      <c r="F9" s="418"/>
      <c r="G9" s="418"/>
      <c r="H9" s="418"/>
      <c r="I9" s="418"/>
      <c r="J9" s="418"/>
      <c r="K9" s="418"/>
      <c r="L9" s="418"/>
      <c r="M9" s="418"/>
      <c r="N9" s="418"/>
      <c r="O9" s="418"/>
      <c r="P9" s="418"/>
      <c r="Q9" s="418"/>
      <c r="R9" s="418"/>
      <c r="S9" s="418"/>
      <c r="T9" s="418"/>
      <c r="U9" s="418"/>
      <c r="V9" s="418"/>
      <c r="W9" s="418"/>
      <c r="X9" s="418"/>
      <c r="Y9" s="418"/>
      <c r="Z9" s="418"/>
      <c r="AA9" s="418"/>
      <c r="AB9" s="418"/>
      <c r="AC9" s="418"/>
      <c r="AD9" s="418"/>
      <c r="AE9" s="418"/>
      <c r="AF9" s="418"/>
      <c r="AG9" s="418"/>
      <c r="AH9" s="418"/>
      <c r="AI9" s="418"/>
    </row>
    <row r="10" spans="1:35" s="379" customFormat="1" ht="14.25" customHeight="1" thickTop="1">
      <c r="A10" s="1318" t="str">
        <f>申込書!A16</f>
        <v>主催団体名</v>
      </c>
      <c r="B10" s="1319"/>
      <c r="C10" s="1319"/>
      <c r="D10" s="1320"/>
      <c r="E10" s="1324" t="str">
        <f>IF(申込書!E16="","",申込書!E16)</f>
        <v/>
      </c>
      <c r="F10" s="1325"/>
      <c r="G10" s="1325"/>
      <c r="H10" s="1325"/>
      <c r="I10" s="1325"/>
      <c r="J10" s="1325"/>
      <c r="K10" s="1325"/>
      <c r="L10" s="1325"/>
      <c r="M10" s="1325"/>
      <c r="N10" s="1325"/>
      <c r="O10" s="1325"/>
      <c r="P10" s="1325"/>
      <c r="Q10" s="1325"/>
      <c r="R10" s="1325"/>
      <c r="S10" s="1325"/>
      <c r="T10" s="1325"/>
      <c r="U10" s="1325"/>
      <c r="V10" s="1325"/>
      <c r="W10" s="1325"/>
      <c r="X10" s="1325"/>
      <c r="Y10" s="1325"/>
      <c r="Z10" s="1325"/>
      <c r="AA10" s="1325"/>
      <c r="AB10" s="1325"/>
      <c r="AC10" s="1325"/>
      <c r="AD10" s="1325"/>
      <c r="AE10" s="1325"/>
      <c r="AF10" s="1325"/>
      <c r="AG10" s="1325"/>
      <c r="AH10" s="1325"/>
      <c r="AI10" s="1326"/>
    </row>
    <row r="11" spans="1:35" s="379" customFormat="1">
      <c r="A11" s="1321"/>
      <c r="B11" s="1322"/>
      <c r="C11" s="1322"/>
      <c r="D11" s="1323"/>
      <c r="E11" s="1327"/>
      <c r="F11" s="1328"/>
      <c r="G11" s="1328"/>
      <c r="H11" s="1328"/>
      <c r="I11" s="1328"/>
      <c r="J11" s="1328"/>
      <c r="K11" s="1328"/>
      <c r="L11" s="1328"/>
      <c r="M11" s="1328"/>
      <c r="N11" s="1328"/>
      <c r="O11" s="1328"/>
      <c r="P11" s="1328"/>
      <c r="Q11" s="1328"/>
      <c r="R11" s="1328"/>
      <c r="S11" s="1328"/>
      <c r="T11" s="1328"/>
      <c r="U11" s="1328"/>
      <c r="V11" s="1328"/>
      <c r="W11" s="1328"/>
      <c r="X11" s="1328"/>
      <c r="Y11" s="1328"/>
      <c r="Z11" s="1328"/>
      <c r="AA11" s="1328"/>
      <c r="AB11" s="1328"/>
      <c r="AC11" s="1328"/>
      <c r="AD11" s="1328"/>
      <c r="AE11" s="1328"/>
      <c r="AF11" s="1328"/>
      <c r="AG11" s="1328"/>
      <c r="AH11" s="1328"/>
      <c r="AI11" s="1329"/>
    </row>
    <row r="12" spans="1:35" s="379" customFormat="1">
      <c r="A12" s="1330" t="str">
        <f>申込書!A22</f>
        <v>所在地
または住所</v>
      </c>
      <c r="B12" s="1331"/>
      <c r="C12" s="1331"/>
      <c r="D12" s="1332"/>
      <c r="E12" s="419" t="s">
        <v>10</v>
      </c>
      <c r="F12" s="1336" t="str">
        <f>IF(申込書!F22="","",申込書!F22)</f>
        <v/>
      </c>
      <c r="G12" s="1336"/>
      <c r="H12" s="1336"/>
      <c r="I12" s="1336"/>
      <c r="J12" s="1336"/>
      <c r="K12" s="1336"/>
      <c r="L12" s="1336"/>
      <c r="M12" s="1336"/>
      <c r="N12" s="1336"/>
      <c r="O12" s="1336"/>
      <c r="P12" s="1336"/>
      <c r="Q12" s="1336"/>
      <c r="R12" s="1336"/>
      <c r="S12" s="1336"/>
      <c r="T12" s="1336"/>
      <c r="U12" s="1336"/>
      <c r="V12" s="1336"/>
      <c r="W12" s="1336"/>
      <c r="X12" s="1336"/>
      <c r="Y12" s="1336"/>
      <c r="Z12" s="1336"/>
      <c r="AA12" s="1336"/>
      <c r="AB12" s="1336"/>
      <c r="AC12" s="1336"/>
      <c r="AD12" s="1336"/>
      <c r="AE12" s="1336"/>
      <c r="AF12" s="1336"/>
      <c r="AG12" s="1336"/>
      <c r="AH12" s="1336"/>
      <c r="AI12" s="1337"/>
    </row>
    <row r="13" spans="1:35" s="379" customFormat="1">
      <c r="A13" s="1333"/>
      <c r="B13" s="1334"/>
      <c r="C13" s="1334"/>
      <c r="D13" s="1335"/>
      <c r="E13" s="1338" t="str">
        <f>IF(申込書!E23="","",申込書!E23)</f>
        <v/>
      </c>
      <c r="F13" s="1339"/>
      <c r="G13" s="1339"/>
      <c r="H13" s="1339"/>
      <c r="I13" s="1339"/>
      <c r="J13" s="1339"/>
      <c r="K13" s="1339"/>
      <c r="L13" s="1339"/>
      <c r="M13" s="1339"/>
      <c r="N13" s="1339"/>
      <c r="O13" s="1339"/>
      <c r="P13" s="1339"/>
      <c r="Q13" s="1339"/>
      <c r="R13" s="1339"/>
      <c r="S13" s="1339"/>
      <c r="T13" s="1339"/>
      <c r="U13" s="1339"/>
      <c r="V13" s="1339"/>
      <c r="W13" s="1339"/>
      <c r="X13" s="1339"/>
      <c r="Y13" s="1339"/>
      <c r="Z13" s="1339"/>
      <c r="AA13" s="1339"/>
      <c r="AB13" s="1339"/>
      <c r="AC13" s="1339"/>
      <c r="AD13" s="1339"/>
      <c r="AE13" s="1339"/>
      <c r="AF13" s="1339"/>
      <c r="AG13" s="1339"/>
      <c r="AH13" s="1339"/>
      <c r="AI13" s="1340"/>
    </row>
    <row r="14" spans="1:35" s="379" customFormat="1">
      <c r="A14" s="1354" t="str">
        <f>申込書!A24</f>
        <v>催事責任者</v>
      </c>
      <c r="B14" s="1355"/>
      <c r="C14" s="1355"/>
      <c r="D14" s="1356"/>
      <c r="E14" s="1357" t="s">
        <v>9</v>
      </c>
      <c r="F14" s="1355"/>
      <c r="G14" s="1356"/>
      <c r="H14" s="1359" t="str">
        <f>IF(申込書!H25="","",申込書!H25)</f>
        <v/>
      </c>
      <c r="I14" s="1360"/>
      <c r="J14" s="1360"/>
      <c r="K14" s="1360"/>
      <c r="L14" s="1360"/>
      <c r="M14" s="1360"/>
      <c r="N14" s="1360"/>
      <c r="O14" s="1360"/>
      <c r="P14" s="1360"/>
      <c r="Q14" s="1360"/>
      <c r="R14" s="1360"/>
      <c r="S14" s="1361"/>
      <c r="T14" s="1365" t="s">
        <v>23</v>
      </c>
      <c r="U14" s="1366"/>
      <c r="V14" s="1367"/>
      <c r="W14" s="1359" t="str">
        <f>IF(申込書!W25="","",申込書!W25)</f>
        <v/>
      </c>
      <c r="X14" s="1360"/>
      <c r="Y14" s="1360"/>
      <c r="Z14" s="1360"/>
      <c r="AA14" s="1360"/>
      <c r="AB14" s="1360"/>
      <c r="AC14" s="1360"/>
      <c r="AD14" s="1360"/>
      <c r="AE14" s="1360"/>
      <c r="AF14" s="1360"/>
      <c r="AG14" s="1360"/>
      <c r="AH14" s="1360"/>
      <c r="AI14" s="1371"/>
    </row>
    <row r="15" spans="1:35" s="379" customFormat="1">
      <c r="A15" s="1321"/>
      <c r="B15" s="1322"/>
      <c r="C15" s="1322"/>
      <c r="D15" s="1323"/>
      <c r="E15" s="1358"/>
      <c r="F15" s="1322"/>
      <c r="G15" s="1323"/>
      <c r="H15" s="1362"/>
      <c r="I15" s="1363"/>
      <c r="J15" s="1363"/>
      <c r="K15" s="1363"/>
      <c r="L15" s="1363"/>
      <c r="M15" s="1363"/>
      <c r="N15" s="1363"/>
      <c r="O15" s="1363"/>
      <c r="P15" s="1363"/>
      <c r="Q15" s="1363"/>
      <c r="R15" s="1363"/>
      <c r="S15" s="1364"/>
      <c r="T15" s="1368"/>
      <c r="U15" s="1369"/>
      <c r="V15" s="1370"/>
      <c r="W15" s="1362"/>
      <c r="X15" s="1363"/>
      <c r="Y15" s="1363"/>
      <c r="Z15" s="1363"/>
      <c r="AA15" s="1363"/>
      <c r="AB15" s="1363"/>
      <c r="AC15" s="1363"/>
      <c r="AD15" s="1363"/>
      <c r="AE15" s="1363"/>
      <c r="AF15" s="1363"/>
      <c r="AG15" s="1363"/>
      <c r="AH15" s="1363"/>
      <c r="AI15" s="1372"/>
    </row>
    <row r="16" spans="1:35" s="379" customFormat="1" ht="11.25" customHeight="1">
      <c r="A16" s="1373" t="str">
        <f>申込書!A26</f>
        <v>催事担当者</v>
      </c>
      <c r="B16" s="1374"/>
      <c r="C16" s="1374"/>
      <c r="D16" s="1374"/>
      <c r="E16" s="1357" t="s">
        <v>9</v>
      </c>
      <c r="F16" s="1355"/>
      <c r="G16" s="1356"/>
      <c r="H16" s="1359" t="str">
        <f>IF(申込書!H27="","",申込書!H27)</f>
        <v/>
      </c>
      <c r="I16" s="1360"/>
      <c r="J16" s="1360"/>
      <c r="K16" s="1360"/>
      <c r="L16" s="1360"/>
      <c r="M16" s="1360"/>
      <c r="N16" s="1360"/>
      <c r="O16" s="1360"/>
      <c r="P16" s="1360"/>
      <c r="Q16" s="1360"/>
      <c r="R16" s="1360"/>
      <c r="S16" s="1361"/>
      <c r="T16" s="1365" t="s">
        <v>23</v>
      </c>
      <c r="U16" s="1366"/>
      <c r="V16" s="1367"/>
      <c r="W16" s="1359" t="str">
        <f>IF(申込書!W27="","",申込書!W27)</f>
        <v/>
      </c>
      <c r="X16" s="1360"/>
      <c r="Y16" s="1360"/>
      <c r="Z16" s="1360"/>
      <c r="AA16" s="1360"/>
      <c r="AB16" s="1360"/>
      <c r="AC16" s="1360"/>
      <c r="AD16" s="1360"/>
      <c r="AE16" s="1360"/>
      <c r="AF16" s="1360"/>
      <c r="AG16" s="1360"/>
      <c r="AH16" s="1360"/>
      <c r="AI16" s="1371"/>
    </row>
    <row r="17" spans="1:53" s="379" customFormat="1">
      <c r="A17" s="1375"/>
      <c r="B17" s="1376"/>
      <c r="C17" s="1376"/>
      <c r="D17" s="1376"/>
      <c r="E17" s="1358"/>
      <c r="F17" s="1322"/>
      <c r="G17" s="1323"/>
      <c r="H17" s="1362"/>
      <c r="I17" s="1363"/>
      <c r="J17" s="1363"/>
      <c r="K17" s="1363"/>
      <c r="L17" s="1363"/>
      <c r="M17" s="1363"/>
      <c r="N17" s="1363"/>
      <c r="O17" s="1363"/>
      <c r="P17" s="1363"/>
      <c r="Q17" s="1363"/>
      <c r="R17" s="1363"/>
      <c r="S17" s="1364"/>
      <c r="T17" s="1368"/>
      <c r="U17" s="1369"/>
      <c r="V17" s="1370"/>
      <c r="W17" s="1362"/>
      <c r="X17" s="1363"/>
      <c r="Y17" s="1363"/>
      <c r="Z17" s="1363"/>
      <c r="AA17" s="1363"/>
      <c r="AB17" s="1363"/>
      <c r="AC17" s="1363"/>
      <c r="AD17" s="1363"/>
      <c r="AE17" s="1363"/>
      <c r="AF17" s="1363"/>
      <c r="AG17" s="1363"/>
      <c r="AH17" s="1363"/>
      <c r="AI17" s="1372"/>
    </row>
    <row r="18" spans="1:53" s="379" customFormat="1" ht="17.25" customHeight="1" thickBot="1">
      <c r="A18" s="1377"/>
      <c r="B18" s="1378"/>
      <c r="C18" s="1378"/>
      <c r="D18" s="1378"/>
      <c r="E18" s="1379" t="s">
        <v>28</v>
      </c>
      <c r="F18" s="1379"/>
      <c r="G18" s="1379"/>
      <c r="H18" s="1380" t="str">
        <f>IF(申込書!H28="","",申込書!H28)</f>
        <v/>
      </c>
      <c r="I18" s="1380"/>
      <c r="J18" s="1380"/>
      <c r="K18" s="1380"/>
      <c r="L18" s="1380"/>
      <c r="M18" s="1380"/>
      <c r="N18" s="1380"/>
      <c r="O18" s="1380"/>
      <c r="P18" s="1380"/>
      <c r="Q18" s="1380"/>
      <c r="R18" s="1380"/>
      <c r="S18" s="1380"/>
      <c r="T18" s="1381" t="s">
        <v>29</v>
      </c>
      <c r="U18" s="1381"/>
      <c r="V18" s="1381"/>
      <c r="W18" s="1380" t="str">
        <f>IF(申込書!W28="","",申込書!W28)</f>
        <v/>
      </c>
      <c r="X18" s="1380"/>
      <c r="Y18" s="1380"/>
      <c r="Z18" s="1380"/>
      <c r="AA18" s="1380"/>
      <c r="AB18" s="1380"/>
      <c r="AC18" s="1380"/>
      <c r="AD18" s="1380"/>
      <c r="AE18" s="1380"/>
      <c r="AF18" s="1380"/>
      <c r="AG18" s="1380"/>
      <c r="AH18" s="1380"/>
      <c r="AI18" s="1382"/>
    </row>
    <row r="19" spans="1:53" ht="38.25" customHeight="1" thickTop="1" thickBot="1">
      <c r="AP19" s="1280" t="s">
        <v>406</v>
      </c>
      <c r="AQ19" s="1281"/>
      <c r="AR19" s="1281"/>
      <c r="AS19" s="1281"/>
      <c r="AT19" s="1281"/>
      <c r="AU19" s="1281"/>
      <c r="AV19" s="1281"/>
      <c r="AW19" s="1281"/>
      <c r="AX19" s="1281"/>
      <c r="AY19" s="1281"/>
      <c r="AZ19" s="1281"/>
      <c r="BA19" s="1282"/>
    </row>
    <row r="20" spans="1:53" s="379" customFormat="1" ht="15" thickBot="1">
      <c r="A20" s="418" t="s">
        <v>194</v>
      </c>
      <c r="B20" s="418"/>
      <c r="C20" s="418"/>
      <c r="D20" s="418"/>
      <c r="E20" s="418"/>
      <c r="F20" s="418"/>
      <c r="G20" s="418"/>
      <c r="H20" s="418"/>
      <c r="I20" s="418"/>
      <c r="J20" s="418"/>
      <c r="K20" s="418"/>
      <c r="L20" s="418"/>
      <c r="M20" s="418"/>
      <c r="N20" s="418"/>
      <c r="O20" s="418"/>
      <c r="P20" s="418"/>
      <c r="Q20" s="418"/>
      <c r="R20" s="418"/>
      <c r="S20" s="418"/>
      <c r="T20" s="418"/>
      <c r="U20" s="418"/>
      <c r="V20" s="418"/>
      <c r="W20" s="418"/>
      <c r="X20" s="418"/>
      <c r="Y20" s="418"/>
      <c r="Z20" s="418"/>
      <c r="AA20" s="418"/>
      <c r="AB20" s="418"/>
      <c r="AC20" s="418"/>
      <c r="AD20" s="418"/>
      <c r="AE20" s="418"/>
      <c r="AF20" s="418"/>
      <c r="AG20" s="418"/>
      <c r="AH20" s="418"/>
      <c r="AI20" s="418"/>
    </row>
    <row r="21" spans="1:53" ht="13.5" customHeight="1">
      <c r="A21" s="1297" t="s">
        <v>201</v>
      </c>
      <c r="B21" s="1298"/>
      <c r="C21" s="1298"/>
      <c r="D21" s="1298"/>
      <c r="E21" s="1298"/>
      <c r="F21" s="1298"/>
      <c r="G21" s="1298"/>
      <c r="H21" s="1298"/>
      <c r="I21" s="1298"/>
      <c r="J21" s="1298"/>
      <c r="K21" s="1298"/>
      <c r="L21" s="1298"/>
      <c r="M21" s="1298"/>
      <c r="N21" s="1298"/>
      <c r="O21" s="1298"/>
      <c r="P21" s="1298"/>
      <c r="Q21" s="1298"/>
      <c r="R21" s="1383" t="s">
        <v>199</v>
      </c>
      <c r="S21" s="1298"/>
      <c r="T21" s="1384"/>
      <c r="U21" s="1298" t="s">
        <v>198</v>
      </c>
      <c r="V21" s="1298"/>
      <c r="W21" s="1301" t="s">
        <v>197</v>
      </c>
      <c r="X21" s="1298"/>
      <c r="Y21" s="1298"/>
      <c r="Z21" s="1298"/>
      <c r="AA21" s="1298"/>
      <c r="AB21" s="1298"/>
      <c r="AC21" s="1298"/>
      <c r="AD21" s="1298"/>
      <c r="AE21" s="1298"/>
      <c r="AF21" s="1387"/>
      <c r="AG21" s="1298" t="s">
        <v>195</v>
      </c>
      <c r="AH21" s="1298"/>
      <c r="AI21" s="1302"/>
      <c r="AP21" s="1297" t="s">
        <v>198</v>
      </c>
      <c r="AQ21" s="1298"/>
      <c r="AR21" s="1301" t="s">
        <v>197</v>
      </c>
      <c r="AS21" s="1298"/>
      <c r="AT21" s="1298"/>
      <c r="AU21" s="1298"/>
      <c r="AV21" s="1298"/>
      <c r="AW21" s="1298"/>
      <c r="AX21" s="1298"/>
      <c r="AY21" s="1298"/>
      <c r="AZ21" s="1298"/>
      <c r="BA21" s="1302"/>
    </row>
    <row r="22" spans="1:53" ht="12.75" thickBot="1">
      <c r="A22" s="1299"/>
      <c r="B22" s="1300"/>
      <c r="C22" s="1300"/>
      <c r="D22" s="1300"/>
      <c r="E22" s="1300"/>
      <c r="F22" s="1300"/>
      <c r="G22" s="1300"/>
      <c r="H22" s="1300"/>
      <c r="I22" s="1300"/>
      <c r="J22" s="1300"/>
      <c r="K22" s="1300"/>
      <c r="L22" s="1300"/>
      <c r="M22" s="1300"/>
      <c r="N22" s="1300"/>
      <c r="O22" s="1300"/>
      <c r="P22" s="1300"/>
      <c r="Q22" s="1300"/>
      <c r="R22" s="1385"/>
      <c r="S22" s="1300"/>
      <c r="T22" s="1386"/>
      <c r="U22" s="1300"/>
      <c r="V22" s="1300"/>
      <c r="W22" s="1303" t="s">
        <v>164</v>
      </c>
      <c r="X22" s="1304"/>
      <c r="Y22" s="1304" t="s">
        <v>165</v>
      </c>
      <c r="Z22" s="1304"/>
      <c r="AA22" s="1304" t="s">
        <v>166</v>
      </c>
      <c r="AB22" s="1304"/>
      <c r="AC22" s="1304" t="s">
        <v>167</v>
      </c>
      <c r="AD22" s="1305"/>
      <c r="AE22" s="1306" t="s">
        <v>196</v>
      </c>
      <c r="AF22" s="1389"/>
      <c r="AG22" s="1300"/>
      <c r="AH22" s="1300"/>
      <c r="AI22" s="1388"/>
      <c r="AP22" s="1299"/>
      <c r="AQ22" s="1300"/>
      <c r="AR22" s="1303" t="s">
        <v>164</v>
      </c>
      <c r="AS22" s="1304"/>
      <c r="AT22" s="1304" t="s">
        <v>165</v>
      </c>
      <c r="AU22" s="1304"/>
      <c r="AV22" s="1304" t="s">
        <v>166</v>
      </c>
      <c r="AW22" s="1304"/>
      <c r="AX22" s="1304" t="s">
        <v>167</v>
      </c>
      <c r="AY22" s="1305"/>
      <c r="AZ22" s="1306" t="s">
        <v>196</v>
      </c>
      <c r="BA22" s="1307"/>
    </row>
    <row r="23" spans="1:53" ht="12.75" thickTop="1">
      <c r="A23" s="1390" t="s">
        <v>207</v>
      </c>
      <c r="B23" s="1392" t="s">
        <v>202</v>
      </c>
      <c r="C23" s="1393"/>
      <c r="D23" s="1393"/>
      <c r="E23" s="1393"/>
      <c r="F23" s="1393"/>
      <c r="G23" s="1393"/>
      <c r="H23" s="1393"/>
      <c r="I23" s="1393"/>
      <c r="J23" s="1393"/>
      <c r="K23" s="1393"/>
      <c r="L23" s="1393"/>
      <c r="M23" s="1393"/>
      <c r="N23" s="1393"/>
      <c r="O23" s="1393"/>
      <c r="P23" s="1393"/>
      <c r="Q23" s="1393"/>
      <c r="R23" s="1396" t="s">
        <v>200</v>
      </c>
      <c r="S23" s="1397"/>
      <c r="T23" s="1398"/>
      <c r="U23" s="1309">
        <v>310</v>
      </c>
      <c r="V23" s="1309"/>
      <c r="W23" s="1402" t="str">
        <f>IF(付帯設備備品使用申込書!W23="","",付帯設備備品使用申込書!W23)</f>
        <v/>
      </c>
      <c r="X23" s="1403"/>
      <c r="Y23" s="1403" t="str">
        <f>IF(付帯設備備品使用申込書!Y23="","",付帯設備備品使用申込書!Y23)</f>
        <v/>
      </c>
      <c r="Z23" s="1403"/>
      <c r="AA23" s="1403" t="str">
        <f>IF(付帯設備備品使用申込書!AA23="","",付帯設備備品使用申込書!AA23)</f>
        <v/>
      </c>
      <c r="AB23" s="1403"/>
      <c r="AC23" s="1403" t="str">
        <f>IF(付帯設備備品使用申込書!AC23="","",付帯設備備品使用申込書!AC23)</f>
        <v/>
      </c>
      <c r="AD23" s="1407"/>
      <c r="AE23" s="1409">
        <f>SUM(W23:AD24)</f>
        <v>0</v>
      </c>
      <c r="AF23" s="1410"/>
      <c r="AG23" s="1414">
        <f>IFERROR((U23*AE23),"")</f>
        <v>0</v>
      </c>
      <c r="AH23" s="1414"/>
      <c r="AI23" s="1415"/>
      <c r="AP23" s="1308">
        <v>310</v>
      </c>
      <c r="AQ23" s="1309"/>
      <c r="AR23" s="1310" t="str">
        <f>IFERROR($U$23*W23,"")</f>
        <v/>
      </c>
      <c r="AS23" s="1311"/>
      <c r="AT23" s="1311" t="str">
        <f t="shared" ref="AT23" si="0">IFERROR($U$23*Y23,"")</f>
        <v/>
      </c>
      <c r="AU23" s="1311"/>
      <c r="AV23" s="1311" t="str">
        <f t="shared" ref="AV23" si="1">IFERROR($U$23*AA23,"")</f>
        <v/>
      </c>
      <c r="AW23" s="1311"/>
      <c r="AX23" s="1311" t="str">
        <f t="shared" ref="AX23" si="2">IFERROR($U$23*AC23,"")</f>
        <v/>
      </c>
      <c r="AY23" s="1313"/>
      <c r="AZ23" s="1315">
        <f>SUM(AR23:AY24)</f>
        <v>0</v>
      </c>
      <c r="BA23" s="1316"/>
    </row>
    <row r="24" spans="1:53">
      <c r="A24" s="1391"/>
      <c r="B24" s="1394"/>
      <c r="C24" s="1395"/>
      <c r="D24" s="1395"/>
      <c r="E24" s="1395"/>
      <c r="F24" s="1395"/>
      <c r="G24" s="1395"/>
      <c r="H24" s="1395"/>
      <c r="I24" s="1395"/>
      <c r="J24" s="1395"/>
      <c r="K24" s="1395"/>
      <c r="L24" s="1395"/>
      <c r="M24" s="1395"/>
      <c r="N24" s="1395"/>
      <c r="O24" s="1395"/>
      <c r="P24" s="1395"/>
      <c r="Q24" s="1395"/>
      <c r="R24" s="1399"/>
      <c r="S24" s="1400"/>
      <c r="T24" s="1401"/>
      <c r="U24" s="1284"/>
      <c r="V24" s="1284"/>
      <c r="W24" s="1404"/>
      <c r="X24" s="1405"/>
      <c r="Y24" s="1406"/>
      <c r="Z24" s="1406"/>
      <c r="AA24" s="1406"/>
      <c r="AB24" s="1406"/>
      <c r="AC24" s="1406"/>
      <c r="AD24" s="1408"/>
      <c r="AE24" s="1411"/>
      <c r="AF24" s="1412"/>
      <c r="AG24" s="1416"/>
      <c r="AH24" s="1416"/>
      <c r="AI24" s="1417"/>
      <c r="AP24" s="1283"/>
      <c r="AQ24" s="1284"/>
      <c r="AR24" s="1285"/>
      <c r="AS24" s="1286"/>
      <c r="AT24" s="1312"/>
      <c r="AU24" s="1312"/>
      <c r="AV24" s="1312"/>
      <c r="AW24" s="1312"/>
      <c r="AX24" s="1312"/>
      <c r="AY24" s="1314"/>
      <c r="AZ24" s="1288"/>
      <c r="BA24" s="1289"/>
    </row>
    <row r="25" spans="1:53">
      <c r="A25" s="1391"/>
      <c r="B25" s="1394" t="s">
        <v>203</v>
      </c>
      <c r="C25" s="1395"/>
      <c r="D25" s="1395"/>
      <c r="E25" s="1395"/>
      <c r="F25" s="1395"/>
      <c r="G25" s="1395"/>
      <c r="H25" s="1395"/>
      <c r="I25" s="1395"/>
      <c r="J25" s="1395"/>
      <c r="K25" s="1395"/>
      <c r="L25" s="1395"/>
      <c r="M25" s="1395"/>
      <c r="N25" s="1395"/>
      <c r="O25" s="1395"/>
      <c r="P25" s="1395"/>
      <c r="Q25" s="1395"/>
      <c r="R25" s="1399" t="s">
        <v>208</v>
      </c>
      <c r="S25" s="1400"/>
      <c r="T25" s="1401"/>
      <c r="U25" s="1284">
        <v>50</v>
      </c>
      <c r="V25" s="1284"/>
      <c r="W25" s="1404" t="str">
        <f>IF(付帯設備備品使用申込書!W25="","",付帯設備備品使用申込書!W25)</f>
        <v/>
      </c>
      <c r="X25" s="1405"/>
      <c r="Y25" s="1405" t="str">
        <f>IF(付帯設備備品使用申込書!Y25="","",付帯設備備品使用申込書!Y25)</f>
        <v/>
      </c>
      <c r="Z25" s="1405"/>
      <c r="AA25" s="1405" t="str">
        <f>IF(付帯設備備品使用申込書!AA25="","",付帯設備備品使用申込書!AA25)</f>
        <v/>
      </c>
      <c r="AB25" s="1405"/>
      <c r="AC25" s="1405" t="str">
        <f>IF(付帯設備備品使用申込書!AC25="","",付帯設備備品使用申込書!AC25)</f>
        <v/>
      </c>
      <c r="AD25" s="1413"/>
      <c r="AE25" s="1411">
        <f t="shared" ref="AE25" si="3">SUM(W25:AD26)</f>
        <v>0</v>
      </c>
      <c r="AF25" s="1412"/>
      <c r="AG25" s="1416">
        <f t="shared" ref="AG25" si="4">IFERROR((U25*AE25),"")</f>
        <v>0</v>
      </c>
      <c r="AH25" s="1416"/>
      <c r="AI25" s="1417"/>
      <c r="AP25" s="1283">
        <v>50</v>
      </c>
      <c r="AQ25" s="1284"/>
      <c r="AR25" s="1285" t="str">
        <f>IFERROR($U$25*W25,"")</f>
        <v/>
      </c>
      <c r="AS25" s="1286"/>
      <c r="AT25" s="1286" t="str">
        <f t="shared" ref="AT25" si="5">IFERROR($U$25*Y25,"")</f>
        <v/>
      </c>
      <c r="AU25" s="1286"/>
      <c r="AV25" s="1286" t="str">
        <f t="shared" ref="AV25" si="6">IFERROR($U$25*AA25,"")</f>
        <v/>
      </c>
      <c r="AW25" s="1286"/>
      <c r="AX25" s="1286" t="str">
        <f t="shared" ref="AX25" si="7">IFERROR($U$25*AC25,"")</f>
        <v/>
      </c>
      <c r="AY25" s="1287"/>
      <c r="AZ25" s="1288">
        <f t="shared" ref="AZ25" si="8">SUM(AR25:AY26)</f>
        <v>0</v>
      </c>
      <c r="BA25" s="1289"/>
    </row>
    <row r="26" spans="1:53">
      <c r="A26" s="1391"/>
      <c r="B26" s="1394"/>
      <c r="C26" s="1395"/>
      <c r="D26" s="1395"/>
      <c r="E26" s="1395"/>
      <c r="F26" s="1395"/>
      <c r="G26" s="1395"/>
      <c r="H26" s="1395"/>
      <c r="I26" s="1395"/>
      <c r="J26" s="1395"/>
      <c r="K26" s="1395"/>
      <c r="L26" s="1395"/>
      <c r="M26" s="1395"/>
      <c r="N26" s="1395"/>
      <c r="O26" s="1395"/>
      <c r="P26" s="1395"/>
      <c r="Q26" s="1395"/>
      <c r="R26" s="1399"/>
      <c r="S26" s="1400"/>
      <c r="T26" s="1401"/>
      <c r="U26" s="1284"/>
      <c r="V26" s="1284"/>
      <c r="W26" s="1404"/>
      <c r="X26" s="1405"/>
      <c r="Y26" s="1405"/>
      <c r="Z26" s="1405"/>
      <c r="AA26" s="1405"/>
      <c r="AB26" s="1405"/>
      <c r="AC26" s="1405"/>
      <c r="AD26" s="1413"/>
      <c r="AE26" s="1411"/>
      <c r="AF26" s="1412"/>
      <c r="AG26" s="1416"/>
      <c r="AH26" s="1416"/>
      <c r="AI26" s="1417"/>
      <c r="AP26" s="1283"/>
      <c r="AQ26" s="1284"/>
      <c r="AR26" s="1285"/>
      <c r="AS26" s="1286"/>
      <c r="AT26" s="1286"/>
      <c r="AU26" s="1286"/>
      <c r="AV26" s="1286"/>
      <c r="AW26" s="1286"/>
      <c r="AX26" s="1286"/>
      <c r="AY26" s="1287"/>
      <c r="AZ26" s="1288"/>
      <c r="BA26" s="1289"/>
    </row>
    <row r="27" spans="1:53">
      <c r="A27" s="1391"/>
      <c r="B27" s="1394" t="s">
        <v>204</v>
      </c>
      <c r="C27" s="1395"/>
      <c r="D27" s="1395"/>
      <c r="E27" s="1395"/>
      <c r="F27" s="1395"/>
      <c r="G27" s="1395"/>
      <c r="H27" s="1395"/>
      <c r="I27" s="1395"/>
      <c r="J27" s="1395"/>
      <c r="K27" s="1395"/>
      <c r="L27" s="1395"/>
      <c r="M27" s="1395"/>
      <c r="N27" s="1395"/>
      <c r="O27" s="1395"/>
      <c r="P27" s="1395"/>
      <c r="Q27" s="1395"/>
      <c r="R27" s="1399" t="s">
        <v>200</v>
      </c>
      <c r="S27" s="1400"/>
      <c r="T27" s="1401"/>
      <c r="U27" s="1284">
        <v>310</v>
      </c>
      <c r="V27" s="1284"/>
      <c r="W27" s="1404" t="str">
        <f>IF(付帯設備備品使用申込書!W27="","",付帯設備備品使用申込書!W27)</f>
        <v/>
      </c>
      <c r="X27" s="1405"/>
      <c r="Y27" s="1405" t="str">
        <f>IF(付帯設備備品使用申込書!Y27="","",付帯設備備品使用申込書!Y27)</f>
        <v/>
      </c>
      <c r="Z27" s="1405"/>
      <c r="AA27" s="1405" t="str">
        <f>IF(付帯設備備品使用申込書!AA27="","",付帯設備備品使用申込書!AA27)</f>
        <v/>
      </c>
      <c r="AB27" s="1405"/>
      <c r="AC27" s="1405" t="str">
        <f>IF(付帯設備備品使用申込書!AC27="","",付帯設備備品使用申込書!AC27)</f>
        <v/>
      </c>
      <c r="AD27" s="1413"/>
      <c r="AE27" s="1411">
        <f t="shared" ref="AE27" si="9">SUM(W27:AD28)</f>
        <v>0</v>
      </c>
      <c r="AF27" s="1412"/>
      <c r="AG27" s="1416">
        <f t="shared" ref="AG27" si="10">IFERROR((U27*AE27),"")</f>
        <v>0</v>
      </c>
      <c r="AH27" s="1416"/>
      <c r="AI27" s="1417"/>
      <c r="AP27" s="1283">
        <v>310</v>
      </c>
      <c r="AQ27" s="1284"/>
      <c r="AR27" s="1285" t="str">
        <f>IFERROR($U$27*W27,"")</f>
        <v/>
      </c>
      <c r="AS27" s="1286"/>
      <c r="AT27" s="1286" t="str">
        <f t="shared" ref="AT27" si="11">IFERROR($U$27*Y27,"")</f>
        <v/>
      </c>
      <c r="AU27" s="1286"/>
      <c r="AV27" s="1286" t="str">
        <f t="shared" ref="AV27" si="12">IFERROR($U$27*AA27,"")</f>
        <v/>
      </c>
      <c r="AW27" s="1286"/>
      <c r="AX27" s="1286" t="str">
        <f t="shared" ref="AX27" si="13">IFERROR($U$27*AC27,"")</f>
        <v/>
      </c>
      <c r="AY27" s="1287"/>
      <c r="AZ27" s="1288">
        <f t="shared" ref="AZ27" si="14">SUM(AR27:AY28)</f>
        <v>0</v>
      </c>
      <c r="BA27" s="1289"/>
    </row>
    <row r="28" spans="1:53">
      <c r="A28" s="1391"/>
      <c r="B28" s="1394"/>
      <c r="C28" s="1395"/>
      <c r="D28" s="1395"/>
      <c r="E28" s="1395"/>
      <c r="F28" s="1395"/>
      <c r="G28" s="1395"/>
      <c r="H28" s="1395"/>
      <c r="I28" s="1395"/>
      <c r="J28" s="1395"/>
      <c r="K28" s="1395"/>
      <c r="L28" s="1395"/>
      <c r="M28" s="1395"/>
      <c r="N28" s="1395"/>
      <c r="O28" s="1395"/>
      <c r="P28" s="1395"/>
      <c r="Q28" s="1395"/>
      <c r="R28" s="1399"/>
      <c r="S28" s="1400"/>
      <c r="T28" s="1401"/>
      <c r="U28" s="1284"/>
      <c r="V28" s="1284"/>
      <c r="W28" s="1404"/>
      <c r="X28" s="1405"/>
      <c r="Y28" s="1405"/>
      <c r="Z28" s="1405"/>
      <c r="AA28" s="1405"/>
      <c r="AB28" s="1405"/>
      <c r="AC28" s="1405"/>
      <c r="AD28" s="1413"/>
      <c r="AE28" s="1411"/>
      <c r="AF28" s="1412"/>
      <c r="AG28" s="1416"/>
      <c r="AH28" s="1416"/>
      <c r="AI28" s="1417"/>
      <c r="AP28" s="1283"/>
      <c r="AQ28" s="1284"/>
      <c r="AR28" s="1285"/>
      <c r="AS28" s="1286"/>
      <c r="AT28" s="1286"/>
      <c r="AU28" s="1286"/>
      <c r="AV28" s="1286"/>
      <c r="AW28" s="1286"/>
      <c r="AX28" s="1286"/>
      <c r="AY28" s="1287"/>
      <c r="AZ28" s="1288"/>
      <c r="BA28" s="1289"/>
    </row>
    <row r="29" spans="1:53">
      <c r="A29" s="1391"/>
      <c r="B29" s="1394" t="s">
        <v>205</v>
      </c>
      <c r="C29" s="1395"/>
      <c r="D29" s="1395"/>
      <c r="E29" s="1395"/>
      <c r="F29" s="1395"/>
      <c r="G29" s="1395"/>
      <c r="H29" s="1395"/>
      <c r="I29" s="1395"/>
      <c r="J29" s="1395"/>
      <c r="K29" s="1395"/>
      <c r="L29" s="1395"/>
      <c r="M29" s="1395"/>
      <c r="N29" s="1395"/>
      <c r="O29" s="1395"/>
      <c r="P29" s="1395"/>
      <c r="Q29" s="1395"/>
      <c r="R29" s="1399" t="s">
        <v>209</v>
      </c>
      <c r="S29" s="1400"/>
      <c r="T29" s="1401"/>
      <c r="U29" s="1284">
        <v>1040</v>
      </c>
      <c r="V29" s="1284"/>
      <c r="W29" s="1404" t="str">
        <f>IF(付帯設備備品使用申込書!W29="","",付帯設備備品使用申込書!W29)</f>
        <v/>
      </c>
      <c r="X29" s="1405"/>
      <c r="Y29" s="1405" t="str">
        <f>IF(付帯設備備品使用申込書!Y29="","",付帯設備備品使用申込書!Y29)</f>
        <v/>
      </c>
      <c r="Z29" s="1405"/>
      <c r="AA29" s="1405" t="str">
        <f>IF(付帯設備備品使用申込書!AA29="","",付帯設備備品使用申込書!AA29)</f>
        <v/>
      </c>
      <c r="AB29" s="1405"/>
      <c r="AC29" s="1405" t="str">
        <f>IF(付帯設備備品使用申込書!AC29="","",付帯設備備品使用申込書!AC29)</f>
        <v/>
      </c>
      <c r="AD29" s="1413"/>
      <c r="AE29" s="1411">
        <f t="shared" ref="AE29" si="15">SUM(W29:AD30)</f>
        <v>0</v>
      </c>
      <c r="AF29" s="1412"/>
      <c r="AG29" s="1416">
        <f t="shared" ref="AG29" si="16">IFERROR((U29*AE29),"")</f>
        <v>0</v>
      </c>
      <c r="AH29" s="1416"/>
      <c r="AI29" s="1417"/>
      <c r="AP29" s="1283">
        <v>1040</v>
      </c>
      <c r="AQ29" s="1284"/>
      <c r="AR29" s="1285" t="str">
        <f>IFERROR($U$29*W29,"")</f>
        <v/>
      </c>
      <c r="AS29" s="1286"/>
      <c r="AT29" s="1286" t="str">
        <f t="shared" ref="AT29" si="17">IFERROR($U$29*Y29,"")</f>
        <v/>
      </c>
      <c r="AU29" s="1286"/>
      <c r="AV29" s="1286" t="str">
        <f t="shared" ref="AV29" si="18">IFERROR($U$29*AA29,"")</f>
        <v/>
      </c>
      <c r="AW29" s="1286"/>
      <c r="AX29" s="1286" t="str">
        <f t="shared" ref="AX29" si="19">IFERROR($U$29*AC29,"")</f>
        <v/>
      </c>
      <c r="AY29" s="1287"/>
      <c r="AZ29" s="1288">
        <f t="shared" ref="AZ29" si="20">SUM(AR29:AY30)</f>
        <v>0</v>
      </c>
      <c r="BA29" s="1289"/>
    </row>
    <row r="30" spans="1:53">
      <c r="A30" s="1391"/>
      <c r="B30" s="1394"/>
      <c r="C30" s="1395"/>
      <c r="D30" s="1395"/>
      <c r="E30" s="1395"/>
      <c r="F30" s="1395"/>
      <c r="G30" s="1395"/>
      <c r="H30" s="1395"/>
      <c r="I30" s="1395"/>
      <c r="J30" s="1395"/>
      <c r="K30" s="1395"/>
      <c r="L30" s="1395"/>
      <c r="M30" s="1395"/>
      <c r="N30" s="1395"/>
      <c r="O30" s="1395"/>
      <c r="P30" s="1395"/>
      <c r="Q30" s="1395"/>
      <c r="R30" s="1399"/>
      <c r="S30" s="1400"/>
      <c r="T30" s="1401"/>
      <c r="U30" s="1284"/>
      <c r="V30" s="1284"/>
      <c r="W30" s="1404"/>
      <c r="X30" s="1405"/>
      <c r="Y30" s="1405"/>
      <c r="Z30" s="1405"/>
      <c r="AA30" s="1405"/>
      <c r="AB30" s="1405"/>
      <c r="AC30" s="1405"/>
      <c r="AD30" s="1413"/>
      <c r="AE30" s="1411"/>
      <c r="AF30" s="1412"/>
      <c r="AG30" s="1416"/>
      <c r="AH30" s="1416"/>
      <c r="AI30" s="1417"/>
      <c r="AP30" s="1283"/>
      <c r="AQ30" s="1284"/>
      <c r="AR30" s="1285"/>
      <c r="AS30" s="1286"/>
      <c r="AT30" s="1286"/>
      <c r="AU30" s="1286"/>
      <c r="AV30" s="1286"/>
      <c r="AW30" s="1286"/>
      <c r="AX30" s="1286"/>
      <c r="AY30" s="1287"/>
      <c r="AZ30" s="1288"/>
      <c r="BA30" s="1289"/>
    </row>
    <row r="31" spans="1:53">
      <c r="A31" s="1391"/>
      <c r="B31" s="1394" t="s">
        <v>206</v>
      </c>
      <c r="C31" s="1395"/>
      <c r="D31" s="1395"/>
      <c r="E31" s="1395"/>
      <c r="F31" s="1395"/>
      <c r="G31" s="1395"/>
      <c r="H31" s="1395"/>
      <c r="I31" s="1395"/>
      <c r="J31" s="1395"/>
      <c r="K31" s="1395"/>
      <c r="L31" s="1395"/>
      <c r="M31" s="1395"/>
      <c r="N31" s="1395"/>
      <c r="O31" s="1395"/>
      <c r="P31" s="1395"/>
      <c r="Q31" s="1395"/>
      <c r="R31" s="1399" t="s">
        <v>210</v>
      </c>
      <c r="S31" s="1400"/>
      <c r="T31" s="1401"/>
      <c r="U31" s="1284">
        <v>50</v>
      </c>
      <c r="V31" s="1284"/>
      <c r="W31" s="1404" t="str">
        <f>IF(付帯設備備品使用申込書!W31="","",付帯設備備品使用申込書!W31)</f>
        <v/>
      </c>
      <c r="X31" s="1405"/>
      <c r="Y31" s="1405" t="str">
        <f>IF(付帯設備備品使用申込書!Y31="","",付帯設備備品使用申込書!Y31)</f>
        <v/>
      </c>
      <c r="Z31" s="1405"/>
      <c r="AA31" s="1405" t="str">
        <f>IF(付帯設備備品使用申込書!AA31="","",付帯設備備品使用申込書!AA31)</f>
        <v/>
      </c>
      <c r="AB31" s="1405"/>
      <c r="AC31" s="1405" t="str">
        <f>IF(付帯設備備品使用申込書!AC31="","",付帯設備備品使用申込書!AC31)</f>
        <v/>
      </c>
      <c r="AD31" s="1413"/>
      <c r="AE31" s="1411">
        <f t="shared" ref="AE31" si="21">SUM(W31:AD32)</f>
        <v>0</v>
      </c>
      <c r="AF31" s="1412"/>
      <c r="AG31" s="1416">
        <f t="shared" ref="AG31" si="22">IFERROR((U31*AE31),"")</f>
        <v>0</v>
      </c>
      <c r="AH31" s="1416"/>
      <c r="AI31" s="1417"/>
      <c r="AP31" s="1283">
        <v>50</v>
      </c>
      <c r="AQ31" s="1284"/>
      <c r="AR31" s="1285" t="str">
        <f>IFERROR($U$31*W31,"")</f>
        <v/>
      </c>
      <c r="AS31" s="1286"/>
      <c r="AT31" s="1286" t="str">
        <f t="shared" ref="AT31" si="23">IFERROR($U$31*Y31,"")</f>
        <v/>
      </c>
      <c r="AU31" s="1286"/>
      <c r="AV31" s="1286" t="str">
        <f t="shared" ref="AV31" si="24">IFERROR($U$31*AA31,"")</f>
        <v/>
      </c>
      <c r="AW31" s="1286"/>
      <c r="AX31" s="1286" t="str">
        <f t="shared" ref="AX31" si="25">IFERROR($U$31*AC31,"")</f>
        <v/>
      </c>
      <c r="AY31" s="1287"/>
      <c r="AZ31" s="1288">
        <f t="shared" ref="AZ31" si="26">SUM(AR31:AY32)</f>
        <v>0</v>
      </c>
      <c r="BA31" s="1289"/>
    </row>
    <row r="32" spans="1:53">
      <c r="A32" s="1391"/>
      <c r="B32" s="1394"/>
      <c r="C32" s="1395"/>
      <c r="D32" s="1395"/>
      <c r="E32" s="1395"/>
      <c r="F32" s="1395"/>
      <c r="G32" s="1395"/>
      <c r="H32" s="1395"/>
      <c r="I32" s="1395"/>
      <c r="J32" s="1395"/>
      <c r="K32" s="1395"/>
      <c r="L32" s="1395"/>
      <c r="M32" s="1395"/>
      <c r="N32" s="1395"/>
      <c r="O32" s="1395"/>
      <c r="P32" s="1395"/>
      <c r="Q32" s="1395"/>
      <c r="R32" s="1399"/>
      <c r="S32" s="1400"/>
      <c r="T32" s="1401"/>
      <c r="U32" s="1284"/>
      <c r="V32" s="1284"/>
      <c r="W32" s="1404"/>
      <c r="X32" s="1405"/>
      <c r="Y32" s="1405"/>
      <c r="Z32" s="1405"/>
      <c r="AA32" s="1405"/>
      <c r="AB32" s="1405"/>
      <c r="AC32" s="1405"/>
      <c r="AD32" s="1413"/>
      <c r="AE32" s="1411"/>
      <c r="AF32" s="1412"/>
      <c r="AG32" s="1416"/>
      <c r="AH32" s="1416"/>
      <c r="AI32" s="1417"/>
      <c r="AP32" s="1283"/>
      <c r="AQ32" s="1284"/>
      <c r="AR32" s="1285"/>
      <c r="AS32" s="1286"/>
      <c r="AT32" s="1286"/>
      <c r="AU32" s="1286"/>
      <c r="AV32" s="1286"/>
      <c r="AW32" s="1286"/>
      <c r="AX32" s="1286"/>
      <c r="AY32" s="1287"/>
      <c r="AZ32" s="1288"/>
      <c r="BA32" s="1289"/>
    </row>
    <row r="33" spans="1:53">
      <c r="A33" s="1391" t="s">
        <v>216</v>
      </c>
      <c r="B33" s="1394" t="s">
        <v>211</v>
      </c>
      <c r="C33" s="1395"/>
      <c r="D33" s="1395"/>
      <c r="E33" s="1418"/>
      <c r="F33" s="1395" t="s">
        <v>212</v>
      </c>
      <c r="G33" s="1395"/>
      <c r="H33" s="1395"/>
      <c r="I33" s="1395"/>
      <c r="J33" s="1395"/>
      <c r="K33" s="1395"/>
      <c r="L33" s="1395"/>
      <c r="M33" s="1395"/>
      <c r="N33" s="1395"/>
      <c r="O33" s="1395"/>
      <c r="P33" s="1395"/>
      <c r="Q33" s="1395"/>
      <c r="R33" s="1399" t="s">
        <v>200</v>
      </c>
      <c r="S33" s="1400"/>
      <c r="T33" s="1401"/>
      <c r="U33" s="1284">
        <v>5230</v>
      </c>
      <c r="V33" s="1284"/>
      <c r="W33" s="1404" t="str">
        <f>IF(付帯設備備品使用申込書!W33="","",付帯設備備品使用申込書!W33)</f>
        <v/>
      </c>
      <c r="X33" s="1405"/>
      <c r="Y33" s="1405" t="str">
        <f>IF(付帯設備備品使用申込書!Y33="","",付帯設備備品使用申込書!Y33)</f>
        <v/>
      </c>
      <c r="Z33" s="1405"/>
      <c r="AA33" s="1405" t="str">
        <f>IF(付帯設備備品使用申込書!AA33="","",付帯設備備品使用申込書!AA33)</f>
        <v/>
      </c>
      <c r="AB33" s="1405"/>
      <c r="AC33" s="1405" t="str">
        <f>IF(付帯設備備品使用申込書!AC33="","",付帯設備備品使用申込書!AC33)</f>
        <v/>
      </c>
      <c r="AD33" s="1413"/>
      <c r="AE33" s="1411">
        <f t="shared" ref="AE33" si="27">SUM(W33:AD34)</f>
        <v>0</v>
      </c>
      <c r="AF33" s="1412"/>
      <c r="AG33" s="1416">
        <f t="shared" ref="AG33" si="28">IFERROR((U33*AE33),"")</f>
        <v>0</v>
      </c>
      <c r="AH33" s="1416"/>
      <c r="AI33" s="1417"/>
      <c r="AP33" s="1283">
        <v>5230</v>
      </c>
      <c r="AQ33" s="1284"/>
      <c r="AR33" s="1285" t="str">
        <f>IFERROR($U$33*W33,"")</f>
        <v/>
      </c>
      <c r="AS33" s="1286"/>
      <c r="AT33" s="1286" t="str">
        <f t="shared" ref="AT33" si="29">IFERROR($U$33*Y33,"")</f>
        <v/>
      </c>
      <c r="AU33" s="1286"/>
      <c r="AV33" s="1286" t="str">
        <f t="shared" ref="AV33" si="30">IFERROR($U$33*AA33,"")</f>
        <v/>
      </c>
      <c r="AW33" s="1286"/>
      <c r="AX33" s="1286" t="str">
        <f>IFERROR($U$33*AC33,"")</f>
        <v/>
      </c>
      <c r="AY33" s="1287"/>
      <c r="AZ33" s="1288">
        <f>SUM(AR33:AY34)</f>
        <v>0</v>
      </c>
      <c r="BA33" s="1289"/>
    </row>
    <row r="34" spans="1:53">
      <c r="A34" s="1391"/>
      <c r="B34" s="1394"/>
      <c r="C34" s="1395"/>
      <c r="D34" s="1395"/>
      <c r="E34" s="1418"/>
      <c r="F34" s="1395"/>
      <c r="G34" s="1395"/>
      <c r="H34" s="1395"/>
      <c r="I34" s="1395"/>
      <c r="J34" s="1395"/>
      <c r="K34" s="1395"/>
      <c r="L34" s="1395"/>
      <c r="M34" s="1395"/>
      <c r="N34" s="1395"/>
      <c r="O34" s="1395"/>
      <c r="P34" s="1395"/>
      <c r="Q34" s="1395"/>
      <c r="R34" s="1399"/>
      <c r="S34" s="1400"/>
      <c r="T34" s="1401"/>
      <c r="U34" s="1284"/>
      <c r="V34" s="1284"/>
      <c r="W34" s="1404"/>
      <c r="X34" s="1405"/>
      <c r="Y34" s="1405"/>
      <c r="Z34" s="1405"/>
      <c r="AA34" s="1405"/>
      <c r="AB34" s="1405"/>
      <c r="AC34" s="1405"/>
      <c r="AD34" s="1413"/>
      <c r="AE34" s="1411"/>
      <c r="AF34" s="1412"/>
      <c r="AG34" s="1416"/>
      <c r="AH34" s="1416"/>
      <c r="AI34" s="1417"/>
      <c r="AP34" s="1283"/>
      <c r="AQ34" s="1284"/>
      <c r="AR34" s="1285"/>
      <c r="AS34" s="1286"/>
      <c r="AT34" s="1286"/>
      <c r="AU34" s="1286"/>
      <c r="AV34" s="1286"/>
      <c r="AW34" s="1286"/>
      <c r="AX34" s="1286"/>
      <c r="AY34" s="1287"/>
      <c r="AZ34" s="1288"/>
      <c r="BA34" s="1289"/>
    </row>
    <row r="35" spans="1:53">
      <c r="A35" s="1391"/>
      <c r="B35" s="1394"/>
      <c r="C35" s="1395"/>
      <c r="D35" s="1395"/>
      <c r="E35" s="1418"/>
      <c r="F35" s="1395" t="s">
        <v>213</v>
      </c>
      <c r="G35" s="1395"/>
      <c r="H35" s="1395"/>
      <c r="I35" s="1395"/>
      <c r="J35" s="1395"/>
      <c r="K35" s="1395"/>
      <c r="L35" s="1395"/>
      <c r="M35" s="1395"/>
      <c r="N35" s="1395"/>
      <c r="O35" s="1395"/>
      <c r="P35" s="1395"/>
      <c r="Q35" s="1395"/>
      <c r="R35" s="1399" t="s">
        <v>200</v>
      </c>
      <c r="S35" s="1400"/>
      <c r="T35" s="1401"/>
      <c r="U35" s="1284">
        <v>2090</v>
      </c>
      <c r="V35" s="1284"/>
      <c r="W35" s="1404" t="str">
        <f>IF(付帯設備備品使用申込書!W35="","",付帯設備備品使用申込書!W35)</f>
        <v/>
      </c>
      <c r="X35" s="1405"/>
      <c r="Y35" s="1405" t="str">
        <f>IF(付帯設備備品使用申込書!Y35="","",付帯設備備品使用申込書!Y35)</f>
        <v/>
      </c>
      <c r="Z35" s="1405"/>
      <c r="AA35" s="1405" t="str">
        <f>IF(付帯設備備品使用申込書!AA35="","",付帯設備備品使用申込書!AA35)</f>
        <v/>
      </c>
      <c r="AB35" s="1405"/>
      <c r="AC35" s="1405" t="str">
        <f>IF(付帯設備備品使用申込書!AC35="","",付帯設備備品使用申込書!AC35)</f>
        <v/>
      </c>
      <c r="AD35" s="1413"/>
      <c r="AE35" s="1411">
        <f t="shared" ref="AE35" si="31">SUM(W35:AD36)</f>
        <v>0</v>
      </c>
      <c r="AF35" s="1412"/>
      <c r="AG35" s="1416">
        <f t="shared" ref="AG35" si="32">IFERROR((U35*AE35),"")</f>
        <v>0</v>
      </c>
      <c r="AH35" s="1416"/>
      <c r="AI35" s="1417"/>
      <c r="AP35" s="1283">
        <v>2090</v>
      </c>
      <c r="AQ35" s="1284"/>
      <c r="AR35" s="1285" t="str">
        <f>IFERROR($U$35*W35,"")</f>
        <v/>
      </c>
      <c r="AS35" s="1286"/>
      <c r="AT35" s="1286" t="str">
        <f t="shared" ref="AT35" si="33">IFERROR($U$35*Y35,"")</f>
        <v/>
      </c>
      <c r="AU35" s="1286"/>
      <c r="AV35" s="1286" t="str">
        <f t="shared" ref="AV35" si="34">IFERROR($U$35*AA35,"")</f>
        <v/>
      </c>
      <c r="AW35" s="1286"/>
      <c r="AX35" s="1286" t="str">
        <f t="shared" ref="AX35" si="35">IFERROR($U$35*AC35,"")</f>
        <v/>
      </c>
      <c r="AY35" s="1287"/>
      <c r="AZ35" s="1288">
        <f t="shared" ref="AZ35" si="36">SUM(AR35:AY36)</f>
        <v>0</v>
      </c>
      <c r="BA35" s="1289"/>
    </row>
    <row r="36" spans="1:53">
      <c r="A36" s="1391"/>
      <c r="B36" s="1394"/>
      <c r="C36" s="1395"/>
      <c r="D36" s="1395"/>
      <c r="E36" s="1418"/>
      <c r="F36" s="1395"/>
      <c r="G36" s="1395"/>
      <c r="H36" s="1395"/>
      <c r="I36" s="1395"/>
      <c r="J36" s="1395"/>
      <c r="K36" s="1395"/>
      <c r="L36" s="1395"/>
      <c r="M36" s="1395"/>
      <c r="N36" s="1395"/>
      <c r="O36" s="1395"/>
      <c r="P36" s="1395"/>
      <c r="Q36" s="1395"/>
      <c r="R36" s="1399"/>
      <c r="S36" s="1400"/>
      <c r="T36" s="1401"/>
      <c r="U36" s="1284"/>
      <c r="V36" s="1284"/>
      <c r="W36" s="1404"/>
      <c r="X36" s="1405"/>
      <c r="Y36" s="1405"/>
      <c r="Z36" s="1405"/>
      <c r="AA36" s="1405"/>
      <c r="AB36" s="1405"/>
      <c r="AC36" s="1405"/>
      <c r="AD36" s="1413"/>
      <c r="AE36" s="1411"/>
      <c r="AF36" s="1412"/>
      <c r="AG36" s="1416"/>
      <c r="AH36" s="1416"/>
      <c r="AI36" s="1417"/>
      <c r="AP36" s="1283"/>
      <c r="AQ36" s="1284"/>
      <c r="AR36" s="1285"/>
      <c r="AS36" s="1286"/>
      <c r="AT36" s="1286"/>
      <c r="AU36" s="1286"/>
      <c r="AV36" s="1286"/>
      <c r="AW36" s="1286"/>
      <c r="AX36" s="1286"/>
      <c r="AY36" s="1287"/>
      <c r="AZ36" s="1288"/>
      <c r="BA36" s="1289"/>
    </row>
    <row r="37" spans="1:53">
      <c r="A37" s="1391"/>
      <c r="B37" s="1394" t="s">
        <v>214</v>
      </c>
      <c r="C37" s="1395"/>
      <c r="D37" s="1395"/>
      <c r="E37" s="1418"/>
      <c r="F37" s="1395" t="s">
        <v>215</v>
      </c>
      <c r="G37" s="1395"/>
      <c r="H37" s="1395"/>
      <c r="I37" s="1395"/>
      <c r="J37" s="1395"/>
      <c r="K37" s="1395"/>
      <c r="L37" s="1395"/>
      <c r="M37" s="1395"/>
      <c r="N37" s="1395"/>
      <c r="O37" s="1395"/>
      <c r="P37" s="1395"/>
      <c r="Q37" s="1395"/>
      <c r="R37" s="1399" t="s">
        <v>200</v>
      </c>
      <c r="S37" s="1400"/>
      <c r="T37" s="1401"/>
      <c r="U37" s="1284">
        <v>3140</v>
      </c>
      <c r="V37" s="1284"/>
      <c r="W37" s="1404" t="str">
        <f>IF(付帯設備備品使用申込書!W37="","",付帯設備備品使用申込書!W37)</f>
        <v/>
      </c>
      <c r="X37" s="1405"/>
      <c r="Y37" s="1405" t="str">
        <f>IF(付帯設備備品使用申込書!Y37="","",付帯設備備品使用申込書!Y37)</f>
        <v/>
      </c>
      <c r="Z37" s="1405"/>
      <c r="AA37" s="1405" t="str">
        <f>IF(付帯設備備品使用申込書!AA37="","",付帯設備備品使用申込書!AA37)</f>
        <v/>
      </c>
      <c r="AB37" s="1405"/>
      <c r="AC37" s="1405" t="str">
        <f>IF(付帯設備備品使用申込書!AC37="","",付帯設備備品使用申込書!AC37)</f>
        <v/>
      </c>
      <c r="AD37" s="1413"/>
      <c r="AE37" s="1411">
        <f t="shared" ref="AE37" si="37">SUM(W37:AD38)</f>
        <v>0</v>
      </c>
      <c r="AF37" s="1412"/>
      <c r="AG37" s="1416">
        <f t="shared" ref="AG37" si="38">IFERROR((U37*AE37),"")</f>
        <v>0</v>
      </c>
      <c r="AH37" s="1416"/>
      <c r="AI37" s="1417"/>
      <c r="AP37" s="1283">
        <v>3140</v>
      </c>
      <c r="AQ37" s="1284"/>
      <c r="AR37" s="1285" t="str">
        <f>IFERROR($U$37*W37,"")</f>
        <v/>
      </c>
      <c r="AS37" s="1286"/>
      <c r="AT37" s="1286" t="str">
        <f t="shared" ref="AT37" si="39">IFERROR($U$37*Y37,"")</f>
        <v/>
      </c>
      <c r="AU37" s="1286"/>
      <c r="AV37" s="1286" t="str">
        <f t="shared" ref="AV37" si="40">IFERROR($U$37*AA37,"")</f>
        <v/>
      </c>
      <c r="AW37" s="1286"/>
      <c r="AX37" s="1286" t="str">
        <f t="shared" ref="AX37" si="41">IFERROR($U$37*AC37,"")</f>
        <v/>
      </c>
      <c r="AY37" s="1287"/>
      <c r="AZ37" s="1288">
        <f t="shared" ref="AZ37" si="42">SUM(AR37:AY38)</f>
        <v>0</v>
      </c>
      <c r="BA37" s="1289"/>
    </row>
    <row r="38" spans="1:53">
      <c r="A38" s="1391"/>
      <c r="B38" s="1394"/>
      <c r="C38" s="1395"/>
      <c r="D38" s="1395"/>
      <c r="E38" s="1418"/>
      <c r="F38" s="1395"/>
      <c r="G38" s="1395"/>
      <c r="H38" s="1395"/>
      <c r="I38" s="1395"/>
      <c r="J38" s="1395"/>
      <c r="K38" s="1395"/>
      <c r="L38" s="1395"/>
      <c r="M38" s="1395"/>
      <c r="N38" s="1395"/>
      <c r="O38" s="1395"/>
      <c r="P38" s="1395"/>
      <c r="Q38" s="1395"/>
      <c r="R38" s="1399"/>
      <c r="S38" s="1400"/>
      <c r="T38" s="1401"/>
      <c r="U38" s="1284"/>
      <c r="V38" s="1284"/>
      <c r="W38" s="1404"/>
      <c r="X38" s="1405"/>
      <c r="Y38" s="1405"/>
      <c r="Z38" s="1405"/>
      <c r="AA38" s="1405"/>
      <c r="AB38" s="1405"/>
      <c r="AC38" s="1405"/>
      <c r="AD38" s="1413"/>
      <c r="AE38" s="1411"/>
      <c r="AF38" s="1412"/>
      <c r="AG38" s="1416"/>
      <c r="AH38" s="1416"/>
      <c r="AI38" s="1417"/>
      <c r="AP38" s="1283"/>
      <c r="AQ38" s="1284"/>
      <c r="AR38" s="1285"/>
      <c r="AS38" s="1286"/>
      <c r="AT38" s="1286"/>
      <c r="AU38" s="1286"/>
      <c r="AV38" s="1286"/>
      <c r="AW38" s="1286"/>
      <c r="AX38" s="1286"/>
      <c r="AY38" s="1287"/>
      <c r="AZ38" s="1288"/>
      <c r="BA38" s="1289"/>
    </row>
    <row r="39" spans="1:53">
      <c r="A39" s="1419" t="s">
        <v>224</v>
      </c>
      <c r="B39" s="1394" t="s">
        <v>217</v>
      </c>
      <c r="C39" s="1395"/>
      <c r="D39" s="1395"/>
      <c r="E39" s="1395"/>
      <c r="F39" s="1395"/>
      <c r="G39" s="1395"/>
      <c r="H39" s="1395"/>
      <c r="I39" s="1395"/>
      <c r="J39" s="1395"/>
      <c r="K39" s="1395"/>
      <c r="L39" s="1395"/>
      <c r="M39" s="1395"/>
      <c r="N39" s="1395"/>
      <c r="O39" s="1395"/>
      <c r="P39" s="1395"/>
      <c r="Q39" s="1395"/>
      <c r="R39" s="1399" t="s">
        <v>200</v>
      </c>
      <c r="S39" s="1400"/>
      <c r="T39" s="1401"/>
      <c r="U39" s="1284">
        <v>730</v>
      </c>
      <c r="V39" s="1284"/>
      <c r="W39" s="1404" t="str">
        <f>IF(付帯設備備品使用申込書!W39="","",付帯設備備品使用申込書!W39)</f>
        <v/>
      </c>
      <c r="X39" s="1405"/>
      <c r="Y39" s="1405" t="str">
        <f>IF(付帯設備備品使用申込書!Y39="","",付帯設備備品使用申込書!Y39)</f>
        <v/>
      </c>
      <c r="Z39" s="1405"/>
      <c r="AA39" s="1405" t="str">
        <f>IF(付帯設備備品使用申込書!AA39="","",付帯設備備品使用申込書!AA39)</f>
        <v/>
      </c>
      <c r="AB39" s="1405"/>
      <c r="AC39" s="1405" t="str">
        <f>IF(付帯設備備品使用申込書!AC39="","",付帯設備備品使用申込書!AC39)</f>
        <v/>
      </c>
      <c r="AD39" s="1413"/>
      <c r="AE39" s="1411">
        <f t="shared" ref="AE39" si="43">SUM(W39:AD40)</f>
        <v>0</v>
      </c>
      <c r="AF39" s="1412"/>
      <c r="AG39" s="1416">
        <f t="shared" ref="AG39" si="44">IFERROR((U39*AE39),"")</f>
        <v>0</v>
      </c>
      <c r="AH39" s="1416"/>
      <c r="AI39" s="1417"/>
      <c r="AP39" s="1283">
        <v>730</v>
      </c>
      <c r="AQ39" s="1284"/>
      <c r="AR39" s="1285" t="str">
        <f>IFERROR($U$39*W39,"")</f>
        <v/>
      </c>
      <c r="AS39" s="1286"/>
      <c r="AT39" s="1286" t="str">
        <f t="shared" ref="AT39" si="45">IFERROR($U$39*Y39,"")</f>
        <v/>
      </c>
      <c r="AU39" s="1286"/>
      <c r="AV39" s="1286" t="str">
        <f t="shared" ref="AV39" si="46">IFERROR($U$39*AA39,"")</f>
        <v/>
      </c>
      <c r="AW39" s="1286"/>
      <c r="AX39" s="1286" t="str">
        <f t="shared" ref="AX39" si="47">IFERROR($U$39*AC39,"")</f>
        <v/>
      </c>
      <c r="AY39" s="1287"/>
      <c r="AZ39" s="1288">
        <f t="shared" ref="AZ39" si="48">SUM(AR39:AY40)</f>
        <v>0</v>
      </c>
      <c r="BA39" s="1289"/>
    </row>
    <row r="40" spans="1:53">
      <c r="A40" s="1419"/>
      <c r="B40" s="1394"/>
      <c r="C40" s="1395"/>
      <c r="D40" s="1395"/>
      <c r="E40" s="1395"/>
      <c r="F40" s="1395"/>
      <c r="G40" s="1395"/>
      <c r="H40" s="1395"/>
      <c r="I40" s="1395"/>
      <c r="J40" s="1395"/>
      <c r="K40" s="1395"/>
      <c r="L40" s="1395"/>
      <c r="M40" s="1395"/>
      <c r="N40" s="1395"/>
      <c r="O40" s="1395"/>
      <c r="P40" s="1395"/>
      <c r="Q40" s="1395"/>
      <c r="R40" s="1399"/>
      <c r="S40" s="1400"/>
      <c r="T40" s="1401"/>
      <c r="U40" s="1284"/>
      <c r="V40" s="1284"/>
      <c r="W40" s="1404"/>
      <c r="X40" s="1405"/>
      <c r="Y40" s="1405"/>
      <c r="Z40" s="1405"/>
      <c r="AA40" s="1405"/>
      <c r="AB40" s="1405"/>
      <c r="AC40" s="1405"/>
      <c r="AD40" s="1413"/>
      <c r="AE40" s="1411"/>
      <c r="AF40" s="1412"/>
      <c r="AG40" s="1416"/>
      <c r="AH40" s="1416"/>
      <c r="AI40" s="1417"/>
      <c r="AP40" s="1283"/>
      <c r="AQ40" s="1284"/>
      <c r="AR40" s="1285"/>
      <c r="AS40" s="1286"/>
      <c r="AT40" s="1286"/>
      <c r="AU40" s="1286"/>
      <c r="AV40" s="1286"/>
      <c r="AW40" s="1286"/>
      <c r="AX40" s="1286"/>
      <c r="AY40" s="1287"/>
      <c r="AZ40" s="1288"/>
      <c r="BA40" s="1289"/>
    </row>
    <row r="41" spans="1:53">
      <c r="A41" s="1419"/>
      <c r="B41" s="1394" t="s">
        <v>289</v>
      </c>
      <c r="C41" s="1395"/>
      <c r="D41" s="1395"/>
      <c r="E41" s="1395"/>
      <c r="F41" s="1395"/>
      <c r="G41" s="1395"/>
      <c r="H41" s="1395"/>
      <c r="I41" s="1395"/>
      <c r="J41" s="1395"/>
      <c r="K41" s="1395"/>
      <c r="L41" s="1395"/>
      <c r="M41" s="1395"/>
      <c r="N41" s="1395"/>
      <c r="O41" s="1395"/>
      <c r="P41" s="1395"/>
      <c r="Q41" s="1395"/>
      <c r="R41" s="1399" t="s">
        <v>200</v>
      </c>
      <c r="S41" s="1400"/>
      <c r="T41" s="1401"/>
      <c r="U41" s="1284">
        <v>5230</v>
      </c>
      <c r="V41" s="1284"/>
      <c r="W41" s="1404" t="str">
        <f>IF(付帯設備備品使用申込書!W41="","",付帯設備備品使用申込書!W41)</f>
        <v/>
      </c>
      <c r="X41" s="1405"/>
      <c r="Y41" s="1405" t="str">
        <f>IF(付帯設備備品使用申込書!Y41="","",付帯設備備品使用申込書!Y41)</f>
        <v/>
      </c>
      <c r="Z41" s="1405"/>
      <c r="AA41" s="1405" t="str">
        <f>IF(付帯設備備品使用申込書!AA41="","",付帯設備備品使用申込書!AA41)</f>
        <v/>
      </c>
      <c r="AB41" s="1405"/>
      <c r="AC41" s="1405" t="str">
        <f>IF(付帯設備備品使用申込書!AC41="","",付帯設備備品使用申込書!AC41)</f>
        <v/>
      </c>
      <c r="AD41" s="1413"/>
      <c r="AE41" s="1411">
        <f t="shared" ref="AE41" si="49">SUM(W41:AD42)</f>
        <v>0</v>
      </c>
      <c r="AF41" s="1412"/>
      <c r="AG41" s="1416">
        <f t="shared" ref="AG41" si="50">IFERROR((U41*AE41),"")</f>
        <v>0</v>
      </c>
      <c r="AH41" s="1416"/>
      <c r="AI41" s="1417"/>
      <c r="AP41" s="1283">
        <v>5230</v>
      </c>
      <c r="AQ41" s="1284"/>
      <c r="AR41" s="1285" t="str">
        <f>IFERROR($U$41*W41,"")</f>
        <v/>
      </c>
      <c r="AS41" s="1286"/>
      <c r="AT41" s="1286" t="str">
        <f t="shared" ref="AT41" si="51">IFERROR($U$41*Y41,"")</f>
        <v/>
      </c>
      <c r="AU41" s="1286"/>
      <c r="AV41" s="1286" t="str">
        <f t="shared" ref="AV41" si="52">IFERROR($U$41*AA41,"")</f>
        <v/>
      </c>
      <c r="AW41" s="1286"/>
      <c r="AX41" s="1286" t="str">
        <f t="shared" ref="AX41" si="53">IFERROR($U$41*AC41,"")</f>
        <v/>
      </c>
      <c r="AY41" s="1287"/>
      <c r="AZ41" s="1288">
        <f t="shared" ref="AZ41" si="54">SUM(AR41:AY42)</f>
        <v>0</v>
      </c>
      <c r="BA41" s="1289"/>
    </row>
    <row r="42" spans="1:53">
      <c r="A42" s="1419"/>
      <c r="B42" s="1394"/>
      <c r="C42" s="1395"/>
      <c r="D42" s="1395"/>
      <c r="E42" s="1395"/>
      <c r="F42" s="1395"/>
      <c r="G42" s="1395"/>
      <c r="H42" s="1395"/>
      <c r="I42" s="1395"/>
      <c r="J42" s="1395"/>
      <c r="K42" s="1395"/>
      <c r="L42" s="1395"/>
      <c r="M42" s="1395"/>
      <c r="N42" s="1395"/>
      <c r="O42" s="1395"/>
      <c r="P42" s="1395"/>
      <c r="Q42" s="1395"/>
      <c r="R42" s="1399"/>
      <c r="S42" s="1400"/>
      <c r="T42" s="1401"/>
      <c r="U42" s="1284"/>
      <c r="V42" s="1284"/>
      <c r="W42" s="1404"/>
      <c r="X42" s="1405"/>
      <c r="Y42" s="1405"/>
      <c r="Z42" s="1405"/>
      <c r="AA42" s="1405"/>
      <c r="AB42" s="1405"/>
      <c r="AC42" s="1405"/>
      <c r="AD42" s="1413"/>
      <c r="AE42" s="1411"/>
      <c r="AF42" s="1412"/>
      <c r="AG42" s="1416"/>
      <c r="AH42" s="1416"/>
      <c r="AI42" s="1417"/>
      <c r="AP42" s="1283"/>
      <c r="AQ42" s="1284"/>
      <c r="AR42" s="1285"/>
      <c r="AS42" s="1286"/>
      <c r="AT42" s="1286"/>
      <c r="AU42" s="1286"/>
      <c r="AV42" s="1286"/>
      <c r="AW42" s="1286"/>
      <c r="AX42" s="1286"/>
      <c r="AY42" s="1287"/>
      <c r="AZ42" s="1288"/>
      <c r="BA42" s="1289"/>
    </row>
    <row r="43" spans="1:53">
      <c r="A43" s="1419"/>
      <c r="B43" s="1394" t="s">
        <v>218</v>
      </c>
      <c r="C43" s="1395"/>
      <c r="D43" s="1395"/>
      <c r="E43" s="1395"/>
      <c r="F43" s="1395"/>
      <c r="G43" s="1395"/>
      <c r="H43" s="1395"/>
      <c r="I43" s="1395"/>
      <c r="J43" s="1395"/>
      <c r="K43" s="1395"/>
      <c r="L43" s="1395"/>
      <c r="M43" s="1395"/>
      <c r="N43" s="1395"/>
      <c r="O43" s="1395"/>
      <c r="P43" s="1395"/>
      <c r="Q43" s="1395"/>
      <c r="R43" s="1399" t="s">
        <v>200</v>
      </c>
      <c r="S43" s="1400"/>
      <c r="T43" s="1401"/>
      <c r="U43" s="1284">
        <v>2090</v>
      </c>
      <c r="V43" s="1284"/>
      <c r="W43" s="1404" t="str">
        <f>IF(付帯設備備品使用申込書!W43="","",付帯設備備品使用申込書!W43)</f>
        <v/>
      </c>
      <c r="X43" s="1405"/>
      <c r="Y43" s="1405" t="str">
        <f>IF(付帯設備備品使用申込書!Y43="","",付帯設備備品使用申込書!Y43)</f>
        <v/>
      </c>
      <c r="Z43" s="1405"/>
      <c r="AA43" s="1405" t="str">
        <f>IF(付帯設備備品使用申込書!AA43="","",付帯設備備品使用申込書!AA43)</f>
        <v/>
      </c>
      <c r="AB43" s="1405"/>
      <c r="AC43" s="1405" t="str">
        <f>IF(付帯設備備品使用申込書!AC43="","",付帯設備備品使用申込書!AC43)</f>
        <v/>
      </c>
      <c r="AD43" s="1413"/>
      <c r="AE43" s="1411">
        <f t="shared" ref="AE43" si="55">SUM(W43:AD44)</f>
        <v>0</v>
      </c>
      <c r="AF43" s="1412"/>
      <c r="AG43" s="1416">
        <f t="shared" ref="AG43" si="56">IFERROR((U43*AE43),"")</f>
        <v>0</v>
      </c>
      <c r="AH43" s="1416"/>
      <c r="AI43" s="1417"/>
      <c r="AP43" s="1283">
        <v>2090</v>
      </c>
      <c r="AQ43" s="1284"/>
      <c r="AR43" s="1285" t="str">
        <f>IFERROR($U$43*W43,"")</f>
        <v/>
      </c>
      <c r="AS43" s="1286"/>
      <c r="AT43" s="1286" t="str">
        <f t="shared" ref="AT43" si="57">IFERROR($U$43*Y43,"")</f>
        <v/>
      </c>
      <c r="AU43" s="1286"/>
      <c r="AV43" s="1286" t="str">
        <f t="shared" ref="AV43" si="58">IFERROR($U$43*AA43,"")</f>
        <v/>
      </c>
      <c r="AW43" s="1286"/>
      <c r="AX43" s="1286" t="str">
        <f t="shared" ref="AX43" si="59">IFERROR($U$43*AC43,"")</f>
        <v/>
      </c>
      <c r="AY43" s="1287"/>
      <c r="AZ43" s="1288">
        <f t="shared" ref="AZ43" si="60">SUM(AR43:AY44)</f>
        <v>0</v>
      </c>
      <c r="BA43" s="1289"/>
    </row>
    <row r="44" spans="1:53">
      <c r="A44" s="1419"/>
      <c r="B44" s="1394"/>
      <c r="C44" s="1395"/>
      <c r="D44" s="1395"/>
      <c r="E44" s="1395"/>
      <c r="F44" s="1395"/>
      <c r="G44" s="1395"/>
      <c r="H44" s="1395"/>
      <c r="I44" s="1395"/>
      <c r="J44" s="1395"/>
      <c r="K44" s="1395"/>
      <c r="L44" s="1395"/>
      <c r="M44" s="1395"/>
      <c r="N44" s="1395"/>
      <c r="O44" s="1395"/>
      <c r="P44" s="1395"/>
      <c r="Q44" s="1395"/>
      <c r="R44" s="1399"/>
      <c r="S44" s="1400"/>
      <c r="T44" s="1401"/>
      <c r="U44" s="1284"/>
      <c r="V44" s="1284"/>
      <c r="W44" s="1404"/>
      <c r="X44" s="1405"/>
      <c r="Y44" s="1405"/>
      <c r="Z44" s="1405"/>
      <c r="AA44" s="1405"/>
      <c r="AB44" s="1405"/>
      <c r="AC44" s="1405"/>
      <c r="AD44" s="1413"/>
      <c r="AE44" s="1411"/>
      <c r="AF44" s="1412"/>
      <c r="AG44" s="1416"/>
      <c r="AH44" s="1416"/>
      <c r="AI44" s="1417"/>
      <c r="AP44" s="1283"/>
      <c r="AQ44" s="1284"/>
      <c r="AR44" s="1285"/>
      <c r="AS44" s="1286"/>
      <c r="AT44" s="1286"/>
      <c r="AU44" s="1286"/>
      <c r="AV44" s="1286"/>
      <c r="AW44" s="1286"/>
      <c r="AX44" s="1286"/>
      <c r="AY44" s="1287"/>
      <c r="AZ44" s="1288"/>
      <c r="BA44" s="1289"/>
    </row>
    <row r="45" spans="1:53">
      <c r="A45" s="1419"/>
      <c r="B45" s="1394" t="s">
        <v>219</v>
      </c>
      <c r="C45" s="1395"/>
      <c r="D45" s="1395"/>
      <c r="E45" s="1395"/>
      <c r="F45" s="1395"/>
      <c r="G45" s="1395"/>
      <c r="H45" s="1395"/>
      <c r="I45" s="1395"/>
      <c r="J45" s="1395"/>
      <c r="K45" s="1395"/>
      <c r="L45" s="1395"/>
      <c r="M45" s="1395"/>
      <c r="N45" s="1395"/>
      <c r="O45" s="1395"/>
      <c r="P45" s="1395"/>
      <c r="Q45" s="1395"/>
      <c r="R45" s="1399" t="s">
        <v>200</v>
      </c>
      <c r="S45" s="1400"/>
      <c r="T45" s="1401"/>
      <c r="U45" s="1284">
        <v>2090</v>
      </c>
      <c r="V45" s="1284"/>
      <c r="W45" s="1404" t="str">
        <f>IF(付帯設備備品使用申込書!W45="","",付帯設備備品使用申込書!W45)</f>
        <v/>
      </c>
      <c r="X45" s="1405"/>
      <c r="Y45" s="1405" t="str">
        <f>IF(付帯設備備品使用申込書!Y45="","",付帯設備備品使用申込書!Y45)</f>
        <v/>
      </c>
      <c r="Z45" s="1405"/>
      <c r="AA45" s="1405" t="str">
        <f>IF(付帯設備備品使用申込書!AA45="","",付帯設備備品使用申込書!AA45)</f>
        <v/>
      </c>
      <c r="AB45" s="1405"/>
      <c r="AC45" s="1405" t="str">
        <f>IF(付帯設備備品使用申込書!AC45="","",付帯設備備品使用申込書!AC45)</f>
        <v/>
      </c>
      <c r="AD45" s="1413"/>
      <c r="AE45" s="1411">
        <f t="shared" ref="AE45" si="61">SUM(W45:AD46)</f>
        <v>0</v>
      </c>
      <c r="AF45" s="1412"/>
      <c r="AG45" s="1416">
        <f t="shared" ref="AG45" si="62">IFERROR((U45*AE45),"")</f>
        <v>0</v>
      </c>
      <c r="AH45" s="1416"/>
      <c r="AI45" s="1417"/>
      <c r="AP45" s="1283">
        <v>2090</v>
      </c>
      <c r="AQ45" s="1284"/>
      <c r="AR45" s="1285" t="str">
        <f>IFERROR($U$45*W45,"")</f>
        <v/>
      </c>
      <c r="AS45" s="1286"/>
      <c r="AT45" s="1286" t="str">
        <f t="shared" ref="AT45" si="63">IFERROR($U$45*Y45,"")</f>
        <v/>
      </c>
      <c r="AU45" s="1286"/>
      <c r="AV45" s="1286" t="str">
        <f t="shared" ref="AV45" si="64">IFERROR($U$45*AA45,"")</f>
        <v/>
      </c>
      <c r="AW45" s="1286"/>
      <c r="AX45" s="1286" t="str">
        <f t="shared" ref="AX45" si="65">IFERROR($U$45*AC45,"")</f>
        <v/>
      </c>
      <c r="AY45" s="1287"/>
      <c r="AZ45" s="1288">
        <f t="shared" ref="AZ45" si="66">SUM(AR45:AY46)</f>
        <v>0</v>
      </c>
      <c r="BA45" s="1289"/>
    </row>
    <row r="46" spans="1:53">
      <c r="A46" s="1419"/>
      <c r="B46" s="1394"/>
      <c r="C46" s="1395"/>
      <c r="D46" s="1395"/>
      <c r="E46" s="1395"/>
      <c r="F46" s="1395"/>
      <c r="G46" s="1395"/>
      <c r="H46" s="1395"/>
      <c r="I46" s="1395"/>
      <c r="J46" s="1395"/>
      <c r="K46" s="1395"/>
      <c r="L46" s="1395"/>
      <c r="M46" s="1395"/>
      <c r="N46" s="1395"/>
      <c r="O46" s="1395"/>
      <c r="P46" s="1395"/>
      <c r="Q46" s="1395"/>
      <c r="R46" s="1399"/>
      <c r="S46" s="1400"/>
      <c r="T46" s="1401"/>
      <c r="U46" s="1284"/>
      <c r="V46" s="1284"/>
      <c r="W46" s="1404"/>
      <c r="X46" s="1405"/>
      <c r="Y46" s="1405"/>
      <c r="Z46" s="1405"/>
      <c r="AA46" s="1405"/>
      <c r="AB46" s="1405"/>
      <c r="AC46" s="1405"/>
      <c r="AD46" s="1413"/>
      <c r="AE46" s="1411"/>
      <c r="AF46" s="1412"/>
      <c r="AG46" s="1416"/>
      <c r="AH46" s="1416"/>
      <c r="AI46" s="1417"/>
      <c r="AP46" s="1283"/>
      <c r="AQ46" s="1284"/>
      <c r="AR46" s="1285"/>
      <c r="AS46" s="1286"/>
      <c r="AT46" s="1286"/>
      <c r="AU46" s="1286"/>
      <c r="AV46" s="1286"/>
      <c r="AW46" s="1286"/>
      <c r="AX46" s="1286"/>
      <c r="AY46" s="1287"/>
      <c r="AZ46" s="1288"/>
      <c r="BA46" s="1289"/>
    </row>
    <row r="47" spans="1:53">
      <c r="A47" s="1419"/>
      <c r="B47" s="1394" t="s">
        <v>220</v>
      </c>
      <c r="C47" s="1395"/>
      <c r="D47" s="1395"/>
      <c r="E47" s="1395"/>
      <c r="F47" s="1395"/>
      <c r="G47" s="1395"/>
      <c r="H47" s="1395"/>
      <c r="I47" s="1395"/>
      <c r="J47" s="1395"/>
      <c r="K47" s="1395"/>
      <c r="L47" s="1395"/>
      <c r="M47" s="1395"/>
      <c r="N47" s="1395"/>
      <c r="O47" s="1395"/>
      <c r="P47" s="1395"/>
      <c r="Q47" s="1395"/>
      <c r="R47" s="1399" t="s">
        <v>200</v>
      </c>
      <c r="S47" s="1400"/>
      <c r="T47" s="1401"/>
      <c r="U47" s="1284">
        <v>1040</v>
      </c>
      <c r="V47" s="1284"/>
      <c r="W47" s="1404" t="str">
        <f>IF(付帯設備備品使用申込書!W47="","",付帯設備備品使用申込書!W47)</f>
        <v/>
      </c>
      <c r="X47" s="1405"/>
      <c r="Y47" s="1405" t="str">
        <f>IF(付帯設備備品使用申込書!Y47="","",付帯設備備品使用申込書!Y47)</f>
        <v/>
      </c>
      <c r="Z47" s="1405"/>
      <c r="AA47" s="1405" t="str">
        <f>IF(付帯設備備品使用申込書!AA47="","",付帯設備備品使用申込書!AA47)</f>
        <v/>
      </c>
      <c r="AB47" s="1405"/>
      <c r="AC47" s="1405" t="str">
        <f>IF(付帯設備備品使用申込書!AC47="","",付帯設備備品使用申込書!AC47)</f>
        <v/>
      </c>
      <c r="AD47" s="1413"/>
      <c r="AE47" s="1411">
        <f t="shared" ref="AE47" si="67">SUM(W47:AD48)</f>
        <v>0</v>
      </c>
      <c r="AF47" s="1412"/>
      <c r="AG47" s="1416">
        <f t="shared" ref="AG47" si="68">IFERROR((U47*AE47),"")</f>
        <v>0</v>
      </c>
      <c r="AH47" s="1416"/>
      <c r="AI47" s="1417"/>
      <c r="AP47" s="1283">
        <v>1040</v>
      </c>
      <c r="AQ47" s="1284"/>
      <c r="AR47" s="1285" t="str">
        <f>IFERROR($U$47*W47,"")</f>
        <v/>
      </c>
      <c r="AS47" s="1286"/>
      <c r="AT47" s="1286" t="str">
        <f t="shared" ref="AT47" si="69">IFERROR($U$47*Y47,"")</f>
        <v/>
      </c>
      <c r="AU47" s="1286"/>
      <c r="AV47" s="1286" t="str">
        <f t="shared" ref="AV47" si="70">IFERROR($U$47*AA47,"")</f>
        <v/>
      </c>
      <c r="AW47" s="1286"/>
      <c r="AX47" s="1286" t="str">
        <f t="shared" ref="AX47" si="71">IFERROR($U$47*AC47,"")</f>
        <v/>
      </c>
      <c r="AY47" s="1287"/>
      <c r="AZ47" s="1288">
        <f t="shared" ref="AZ47" si="72">SUM(AR47:AY48)</f>
        <v>0</v>
      </c>
      <c r="BA47" s="1289"/>
    </row>
    <row r="48" spans="1:53">
      <c r="A48" s="1419"/>
      <c r="B48" s="1394"/>
      <c r="C48" s="1395"/>
      <c r="D48" s="1395"/>
      <c r="E48" s="1395"/>
      <c r="F48" s="1395"/>
      <c r="G48" s="1395"/>
      <c r="H48" s="1395"/>
      <c r="I48" s="1395"/>
      <c r="J48" s="1395"/>
      <c r="K48" s="1395"/>
      <c r="L48" s="1395"/>
      <c r="M48" s="1395"/>
      <c r="N48" s="1395"/>
      <c r="O48" s="1395"/>
      <c r="P48" s="1395"/>
      <c r="Q48" s="1395"/>
      <c r="R48" s="1399"/>
      <c r="S48" s="1400"/>
      <c r="T48" s="1401"/>
      <c r="U48" s="1284"/>
      <c r="V48" s="1284"/>
      <c r="W48" s="1404"/>
      <c r="X48" s="1405"/>
      <c r="Y48" s="1405"/>
      <c r="Z48" s="1405"/>
      <c r="AA48" s="1405"/>
      <c r="AB48" s="1405"/>
      <c r="AC48" s="1405"/>
      <c r="AD48" s="1413"/>
      <c r="AE48" s="1411"/>
      <c r="AF48" s="1412"/>
      <c r="AG48" s="1416"/>
      <c r="AH48" s="1416"/>
      <c r="AI48" s="1417"/>
      <c r="AP48" s="1283"/>
      <c r="AQ48" s="1284"/>
      <c r="AR48" s="1285"/>
      <c r="AS48" s="1286"/>
      <c r="AT48" s="1286"/>
      <c r="AU48" s="1286"/>
      <c r="AV48" s="1286"/>
      <c r="AW48" s="1286"/>
      <c r="AX48" s="1286"/>
      <c r="AY48" s="1287"/>
      <c r="AZ48" s="1288"/>
      <c r="BA48" s="1289"/>
    </row>
    <row r="49" spans="1:53">
      <c r="A49" s="1419"/>
      <c r="B49" s="1394" t="s">
        <v>221</v>
      </c>
      <c r="C49" s="1395"/>
      <c r="D49" s="1395"/>
      <c r="E49" s="1395"/>
      <c r="F49" s="1395"/>
      <c r="G49" s="1395"/>
      <c r="H49" s="1395"/>
      <c r="I49" s="1395"/>
      <c r="J49" s="1395"/>
      <c r="K49" s="1395"/>
      <c r="L49" s="1395"/>
      <c r="M49" s="1395"/>
      <c r="N49" s="1395"/>
      <c r="O49" s="1395"/>
      <c r="P49" s="1395"/>
      <c r="Q49" s="1395"/>
      <c r="R49" s="1399" t="s">
        <v>200</v>
      </c>
      <c r="S49" s="1400"/>
      <c r="T49" s="1401"/>
      <c r="U49" s="1284">
        <v>310</v>
      </c>
      <c r="V49" s="1284"/>
      <c r="W49" s="1404" t="str">
        <f>IF(付帯設備備品使用申込書!W49="","",付帯設備備品使用申込書!W49)</f>
        <v/>
      </c>
      <c r="X49" s="1405"/>
      <c r="Y49" s="1405" t="str">
        <f>IF(付帯設備備品使用申込書!Y49="","",付帯設備備品使用申込書!Y49)</f>
        <v/>
      </c>
      <c r="Z49" s="1405"/>
      <c r="AA49" s="1405" t="str">
        <f>IF(付帯設備備品使用申込書!AA49="","",付帯設備備品使用申込書!AA49)</f>
        <v/>
      </c>
      <c r="AB49" s="1405"/>
      <c r="AC49" s="1405" t="str">
        <f>IF(付帯設備備品使用申込書!AC49="","",付帯設備備品使用申込書!AC49)</f>
        <v/>
      </c>
      <c r="AD49" s="1413"/>
      <c r="AE49" s="1411">
        <f t="shared" ref="AE49" si="73">SUM(W49:AD50)</f>
        <v>0</v>
      </c>
      <c r="AF49" s="1412"/>
      <c r="AG49" s="1416">
        <f t="shared" ref="AG49" si="74">IFERROR((U49*AE49),"")</f>
        <v>0</v>
      </c>
      <c r="AH49" s="1416"/>
      <c r="AI49" s="1417"/>
      <c r="AP49" s="1283">
        <v>310</v>
      </c>
      <c r="AQ49" s="1284"/>
      <c r="AR49" s="1285" t="str">
        <f>IFERROR($U$49*W49,"")</f>
        <v/>
      </c>
      <c r="AS49" s="1286"/>
      <c r="AT49" s="1286" t="str">
        <f t="shared" ref="AT49" si="75">IFERROR($U$49*Y49,"")</f>
        <v/>
      </c>
      <c r="AU49" s="1286"/>
      <c r="AV49" s="1286" t="str">
        <f t="shared" ref="AV49" si="76">IFERROR($U$49*AA49,"")</f>
        <v/>
      </c>
      <c r="AW49" s="1286"/>
      <c r="AX49" s="1286" t="str">
        <f t="shared" ref="AX49" si="77">IFERROR($U$49*AC49,"")</f>
        <v/>
      </c>
      <c r="AY49" s="1287"/>
      <c r="AZ49" s="1288">
        <f t="shared" ref="AZ49" si="78">SUM(AR49:AY50)</f>
        <v>0</v>
      </c>
      <c r="BA49" s="1289"/>
    </row>
    <row r="50" spans="1:53">
      <c r="A50" s="1419"/>
      <c r="B50" s="1394"/>
      <c r="C50" s="1395"/>
      <c r="D50" s="1395"/>
      <c r="E50" s="1395"/>
      <c r="F50" s="1395"/>
      <c r="G50" s="1395"/>
      <c r="H50" s="1395"/>
      <c r="I50" s="1395"/>
      <c r="J50" s="1395"/>
      <c r="K50" s="1395"/>
      <c r="L50" s="1395"/>
      <c r="M50" s="1395"/>
      <c r="N50" s="1395"/>
      <c r="O50" s="1395"/>
      <c r="P50" s="1395"/>
      <c r="Q50" s="1395"/>
      <c r="R50" s="1399"/>
      <c r="S50" s="1400"/>
      <c r="T50" s="1401"/>
      <c r="U50" s="1284"/>
      <c r="V50" s="1284"/>
      <c r="W50" s="1404"/>
      <c r="X50" s="1405"/>
      <c r="Y50" s="1405"/>
      <c r="Z50" s="1405"/>
      <c r="AA50" s="1405"/>
      <c r="AB50" s="1405"/>
      <c r="AC50" s="1405"/>
      <c r="AD50" s="1413"/>
      <c r="AE50" s="1411"/>
      <c r="AF50" s="1412"/>
      <c r="AG50" s="1416"/>
      <c r="AH50" s="1416"/>
      <c r="AI50" s="1417"/>
      <c r="AP50" s="1283"/>
      <c r="AQ50" s="1284"/>
      <c r="AR50" s="1285"/>
      <c r="AS50" s="1286"/>
      <c r="AT50" s="1286"/>
      <c r="AU50" s="1286"/>
      <c r="AV50" s="1286"/>
      <c r="AW50" s="1286"/>
      <c r="AX50" s="1286"/>
      <c r="AY50" s="1287"/>
      <c r="AZ50" s="1288"/>
      <c r="BA50" s="1289"/>
    </row>
    <row r="51" spans="1:53">
      <c r="A51" s="1419"/>
      <c r="B51" s="1394" t="s">
        <v>222</v>
      </c>
      <c r="C51" s="1395"/>
      <c r="D51" s="1395"/>
      <c r="E51" s="1395"/>
      <c r="F51" s="1395"/>
      <c r="G51" s="1395"/>
      <c r="H51" s="1395"/>
      <c r="I51" s="1395"/>
      <c r="J51" s="1395"/>
      <c r="K51" s="1395"/>
      <c r="L51" s="1395"/>
      <c r="M51" s="1395"/>
      <c r="N51" s="1395"/>
      <c r="O51" s="1395"/>
      <c r="P51" s="1395"/>
      <c r="Q51" s="1395"/>
      <c r="R51" s="1399" t="s">
        <v>200</v>
      </c>
      <c r="S51" s="1400"/>
      <c r="T51" s="1401"/>
      <c r="U51" s="1284">
        <v>310</v>
      </c>
      <c r="V51" s="1284"/>
      <c r="W51" s="1404" t="str">
        <f>IF(付帯設備備品使用申込書!W51="","",付帯設備備品使用申込書!W51)</f>
        <v/>
      </c>
      <c r="X51" s="1405"/>
      <c r="Y51" s="1405" t="str">
        <f>IF(付帯設備備品使用申込書!Y51="","",付帯設備備品使用申込書!Y51)</f>
        <v/>
      </c>
      <c r="Z51" s="1405"/>
      <c r="AA51" s="1405" t="str">
        <f>IF(付帯設備備品使用申込書!AA51="","",付帯設備備品使用申込書!AA51)</f>
        <v/>
      </c>
      <c r="AB51" s="1405"/>
      <c r="AC51" s="1405" t="str">
        <f>IF(付帯設備備品使用申込書!AC51="","",付帯設備備品使用申込書!AC51)</f>
        <v/>
      </c>
      <c r="AD51" s="1413"/>
      <c r="AE51" s="1411">
        <f t="shared" ref="AE51" si="79">SUM(W51:AD52)</f>
        <v>0</v>
      </c>
      <c r="AF51" s="1412"/>
      <c r="AG51" s="1416">
        <f t="shared" ref="AG51" si="80">IFERROR((U51*AE51),"")</f>
        <v>0</v>
      </c>
      <c r="AH51" s="1416"/>
      <c r="AI51" s="1417"/>
      <c r="AP51" s="1283">
        <v>310</v>
      </c>
      <c r="AQ51" s="1284"/>
      <c r="AR51" s="1285" t="str">
        <f>IFERROR($U$51*W51,"")</f>
        <v/>
      </c>
      <c r="AS51" s="1286"/>
      <c r="AT51" s="1286" t="str">
        <f t="shared" ref="AT51" si="81">IFERROR($U$51*Y51,"")</f>
        <v/>
      </c>
      <c r="AU51" s="1286"/>
      <c r="AV51" s="1286" t="str">
        <f t="shared" ref="AV51" si="82">IFERROR($U$51*AA51,"")</f>
        <v/>
      </c>
      <c r="AW51" s="1286"/>
      <c r="AX51" s="1286" t="str">
        <f t="shared" ref="AX51" si="83">IFERROR($U$51*AC51,"")</f>
        <v/>
      </c>
      <c r="AY51" s="1287"/>
      <c r="AZ51" s="1288">
        <f t="shared" ref="AZ51" si="84">SUM(AR51:AY52)</f>
        <v>0</v>
      </c>
      <c r="BA51" s="1289"/>
    </row>
    <row r="52" spans="1:53" ht="12.75" thickBot="1">
      <c r="A52" s="1419"/>
      <c r="B52" s="1428"/>
      <c r="C52" s="1429"/>
      <c r="D52" s="1429"/>
      <c r="E52" s="1429"/>
      <c r="F52" s="1429"/>
      <c r="G52" s="1429"/>
      <c r="H52" s="1429"/>
      <c r="I52" s="1429"/>
      <c r="J52" s="1429"/>
      <c r="K52" s="1429"/>
      <c r="L52" s="1429"/>
      <c r="M52" s="1429"/>
      <c r="N52" s="1429"/>
      <c r="O52" s="1429"/>
      <c r="P52" s="1429"/>
      <c r="Q52" s="1429"/>
      <c r="R52" s="1430"/>
      <c r="S52" s="1431"/>
      <c r="T52" s="1432"/>
      <c r="U52" s="1433"/>
      <c r="V52" s="1433"/>
      <c r="W52" s="1404"/>
      <c r="X52" s="1405"/>
      <c r="Y52" s="1405"/>
      <c r="Z52" s="1405"/>
      <c r="AA52" s="1405"/>
      <c r="AB52" s="1405"/>
      <c r="AC52" s="1405"/>
      <c r="AD52" s="1413"/>
      <c r="AE52" s="1434"/>
      <c r="AF52" s="1435"/>
      <c r="AG52" s="1436"/>
      <c r="AH52" s="1436"/>
      <c r="AI52" s="1437"/>
      <c r="AP52" s="1290"/>
      <c r="AQ52" s="1291"/>
      <c r="AR52" s="1292"/>
      <c r="AS52" s="1293"/>
      <c r="AT52" s="1293"/>
      <c r="AU52" s="1293"/>
      <c r="AV52" s="1293"/>
      <c r="AW52" s="1293"/>
      <c r="AX52" s="1293"/>
      <c r="AY52" s="1294"/>
      <c r="AZ52" s="1295"/>
      <c r="BA52" s="1296"/>
    </row>
    <row r="53" spans="1:53" ht="12.75" thickTop="1">
      <c r="A53" s="1440" t="s">
        <v>223</v>
      </c>
      <c r="B53" s="1441"/>
      <c r="C53" s="1441"/>
      <c r="D53" s="1441"/>
      <c r="E53" s="1441"/>
      <c r="F53" s="1441"/>
      <c r="G53" s="1441"/>
      <c r="H53" s="1441"/>
      <c r="I53" s="1441"/>
      <c r="J53" s="1441"/>
      <c r="K53" s="1441"/>
      <c r="L53" s="1441"/>
      <c r="M53" s="1441"/>
      <c r="N53" s="1441"/>
      <c r="O53" s="1441"/>
      <c r="P53" s="1441"/>
      <c r="Q53" s="1441"/>
      <c r="R53" s="1441"/>
      <c r="S53" s="1441"/>
      <c r="T53" s="1441"/>
      <c r="U53" s="1441"/>
      <c r="V53" s="1441"/>
      <c r="W53" s="1444"/>
      <c r="X53" s="1441"/>
      <c r="Y53" s="1446"/>
      <c r="Z53" s="1446"/>
      <c r="AA53" s="1446"/>
      <c r="AB53" s="1446"/>
      <c r="AC53" s="1446"/>
      <c r="AD53" s="1448"/>
      <c r="AE53" s="1450"/>
      <c r="AF53" s="1451"/>
      <c r="AG53" s="1454">
        <f>IFERROR(SUM(AG23:AI52),"")</f>
        <v>0</v>
      </c>
      <c r="AH53" s="1454"/>
      <c r="AI53" s="1455"/>
      <c r="AR53" s="1278">
        <f>IFERROR(SUM(AR23:AS52),"")</f>
        <v>0</v>
      </c>
      <c r="AS53" s="1274"/>
      <c r="AT53" s="1274">
        <f t="shared" ref="AT53" si="85">IFERROR(SUM(AT23:AU52),"")</f>
        <v>0</v>
      </c>
      <c r="AU53" s="1274"/>
      <c r="AV53" s="1274">
        <f t="shared" ref="AV53" si="86">IFERROR(SUM(AV23:AW52),"")</f>
        <v>0</v>
      </c>
      <c r="AW53" s="1274"/>
      <c r="AX53" s="1274">
        <f t="shared" ref="AX53" si="87">IFERROR(SUM(AX23:AY52),"")</f>
        <v>0</v>
      </c>
      <c r="AY53" s="1274"/>
      <c r="AZ53" s="1274">
        <f>IFERROR(SUM(AZ23:BA52),"")</f>
        <v>0</v>
      </c>
      <c r="BA53" s="1275"/>
    </row>
    <row r="54" spans="1:53" ht="12.75" thickBot="1">
      <c r="A54" s="1442"/>
      <c r="B54" s="1443"/>
      <c r="C54" s="1443"/>
      <c r="D54" s="1443"/>
      <c r="E54" s="1443"/>
      <c r="F54" s="1443"/>
      <c r="G54" s="1443"/>
      <c r="H54" s="1443"/>
      <c r="I54" s="1443"/>
      <c r="J54" s="1443"/>
      <c r="K54" s="1443"/>
      <c r="L54" s="1443"/>
      <c r="M54" s="1443"/>
      <c r="N54" s="1443"/>
      <c r="O54" s="1443"/>
      <c r="P54" s="1443"/>
      <c r="Q54" s="1443"/>
      <c r="R54" s="1443"/>
      <c r="S54" s="1443"/>
      <c r="T54" s="1443"/>
      <c r="U54" s="1443"/>
      <c r="V54" s="1443"/>
      <c r="W54" s="1445"/>
      <c r="X54" s="1443"/>
      <c r="Y54" s="1447"/>
      <c r="Z54" s="1447"/>
      <c r="AA54" s="1447"/>
      <c r="AB54" s="1447"/>
      <c r="AC54" s="1447"/>
      <c r="AD54" s="1449"/>
      <c r="AE54" s="1452"/>
      <c r="AF54" s="1453"/>
      <c r="AG54" s="1456"/>
      <c r="AH54" s="1456"/>
      <c r="AI54" s="1457"/>
      <c r="AR54" s="1279"/>
      <c r="AS54" s="1276"/>
      <c r="AT54" s="1276"/>
      <c r="AU54" s="1276"/>
      <c r="AV54" s="1276"/>
      <c r="AW54" s="1276"/>
      <c r="AX54" s="1276"/>
      <c r="AY54" s="1276"/>
      <c r="AZ54" s="1276"/>
      <c r="BA54" s="1277"/>
    </row>
    <row r="55" spans="1:53" ht="12.75" thickBot="1">
      <c r="A55" s="421"/>
      <c r="B55" s="421"/>
      <c r="C55" s="421"/>
      <c r="D55" s="421"/>
      <c r="E55" s="421"/>
      <c r="F55" s="421"/>
      <c r="G55" s="421"/>
      <c r="H55" s="421"/>
      <c r="I55" s="421"/>
      <c r="J55" s="421"/>
      <c r="K55" s="421"/>
      <c r="L55" s="421"/>
      <c r="M55" s="421"/>
      <c r="N55" s="421"/>
      <c r="O55" s="421"/>
      <c r="P55" s="421"/>
      <c r="Q55" s="421"/>
      <c r="R55" s="421"/>
      <c r="S55" s="421"/>
      <c r="T55" s="421"/>
      <c r="U55" s="421"/>
      <c r="V55" s="421"/>
      <c r="W55" s="421"/>
      <c r="X55" s="421"/>
      <c r="Y55" s="421"/>
      <c r="Z55" s="421"/>
      <c r="AA55" s="421"/>
      <c r="AB55" s="421"/>
      <c r="AC55" s="421"/>
      <c r="AD55" s="421"/>
      <c r="AE55" s="421"/>
      <c r="AF55" s="421"/>
      <c r="AG55" s="422"/>
      <c r="AH55" s="422"/>
      <c r="AI55" s="422"/>
    </row>
    <row r="56" spans="1:53" ht="14.25" customHeight="1">
      <c r="A56" s="421"/>
      <c r="B56" s="421"/>
      <c r="C56" s="421"/>
      <c r="D56" s="421"/>
      <c r="E56" s="421"/>
      <c r="F56" s="421"/>
      <c r="G56" s="421"/>
      <c r="H56" s="421"/>
      <c r="I56" s="421"/>
      <c r="J56" s="421"/>
      <c r="K56" s="421"/>
      <c r="L56" s="421"/>
      <c r="M56" s="421"/>
      <c r="N56" s="421"/>
      <c r="O56" s="421"/>
      <c r="P56" s="421"/>
      <c r="Q56" s="421"/>
      <c r="R56" s="421"/>
      <c r="S56" s="421"/>
      <c r="T56" s="421"/>
      <c r="U56" s="421"/>
      <c r="V56" s="421"/>
      <c r="W56" s="1420" t="s">
        <v>243</v>
      </c>
      <c r="X56" s="1421"/>
      <c r="Y56" s="1421"/>
      <c r="Z56" s="1422"/>
      <c r="AA56" s="1421"/>
      <c r="AB56" s="1421"/>
      <c r="AC56" s="1421"/>
      <c r="AD56" s="1421"/>
      <c r="AE56" s="1421"/>
      <c r="AF56" s="1421"/>
      <c r="AG56" s="1421"/>
      <c r="AH56" s="1421"/>
      <c r="AI56" s="1426"/>
    </row>
    <row r="57" spans="1:53" ht="14.25" customHeight="1" thickBot="1">
      <c r="W57" s="1423"/>
      <c r="X57" s="1424"/>
      <c r="Y57" s="1424"/>
      <c r="Z57" s="1425"/>
      <c r="AA57" s="1424"/>
      <c r="AB57" s="1424"/>
      <c r="AC57" s="1424"/>
      <c r="AD57" s="1424"/>
      <c r="AE57" s="1424"/>
      <c r="AF57" s="1424"/>
      <c r="AG57" s="1424"/>
      <c r="AH57" s="1424"/>
      <c r="AI57" s="1427"/>
    </row>
  </sheetData>
  <mergeCells count="288">
    <mergeCell ref="AF1:AI1"/>
    <mergeCell ref="AF2:AI4"/>
    <mergeCell ref="A53:V54"/>
    <mergeCell ref="W53:X54"/>
    <mergeCell ref="Y53:Z54"/>
    <mergeCell ref="AA53:AB54"/>
    <mergeCell ref="AC53:AD54"/>
    <mergeCell ref="AE53:AF54"/>
    <mergeCell ref="AG53:AI54"/>
    <mergeCell ref="B47:Q48"/>
    <mergeCell ref="R47:T48"/>
    <mergeCell ref="U47:V48"/>
    <mergeCell ref="W47:X48"/>
    <mergeCell ref="Y47:Z48"/>
    <mergeCell ref="AA47:AB48"/>
    <mergeCell ref="AC47:AD48"/>
    <mergeCell ref="AE47:AF48"/>
    <mergeCell ref="AG47:AI48"/>
    <mergeCell ref="U43:V44"/>
    <mergeCell ref="W43:X44"/>
    <mergeCell ref="Y43:Z44"/>
    <mergeCell ref="AA43:AB44"/>
    <mergeCell ref="AC43:AD44"/>
    <mergeCell ref="AE43:AF44"/>
    <mergeCell ref="W56:Z57"/>
    <mergeCell ref="AA56:AI57"/>
    <mergeCell ref="AC49:AD50"/>
    <mergeCell ref="AE49:AF50"/>
    <mergeCell ref="AG49:AI50"/>
    <mergeCell ref="B51:Q52"/>
    <mergeCell ref="R51:T52"/>
    <mergeCell ref="U51:V52"/>
    <mergeCell ref="W51:X52"/>
    <mergeCell ref="Y51:Z52"/>
    <mergeCell ref="AA51:AB52"/>
    <mergeCell ref="AC51:AD52"/>
    <mergeCell ref="B49:Q50"/>
    <mergeCell ref="R49:T50"/>
    <mergeCell ref="U49:V50"/>
    <mergeCell ref="W49:X50"/>
    <mergeCell ref="Y49:Z50"/>
    <mergeCell ref="AA49:AB50"/>
    <mergeCell ref="AE51:AF52"/>
    <mergeCell ref="AG51:AI52"/>
    <mergeCell ref="AG43:AI44"/>
    <mergeCell ref="B45:Q46"/>
    <mergeCell ref="R45:T46"/>
    <mergeCell ref="U45:V46"/>
    <mergeCell ref="W45:X46"/>
    <mergeCell ref="Y45:Z46"/>
    <mergeCell ref="AA45:AB46"/>
    <mergeCell ref="AC45:AD46"/>
    <mergeCell ref="AE45:AF46"/>
    <mergeCell ref="AG45:AI46"/>
    <mergeCell ref="AE37:AF38"/>
    <mergeCell ref="AG37:AI38"/>
    <mergeCell ref="A39:A52"/>
    <mergeCell ref="B39:Q40"/>
    <mergeCell ref="R39:T40"/>
    <mergeCell ref="U39:V40"/>
    <mergeCell ref="W39:X40"/>
    <mergeCell ref="Y39:Z40"/>
    <mergeCell ref="A33:A38"/>
    <mergeCell ref="AA39:AB40"/>
    <mergeCell ref="AC39:AD40"/>
    <mergeCell ref="AE39:AF40"/>
    <mergeCell ref="AG39:AI40"/>
    <mergeCell ref="B41:Q42"/>
    <mergeCell ref="R41:T42"/>
    <mergeCell ref="U41:V42"/>
    <mergeCell ref="W41:X42"/>
    <mergeCell ref="Y41:Z42"/>
    <mergeCell ref="AA41:AB42"/>
    <mergeCell ref="AC41:AD42"/>
    <mergeCell ref="AE41:AF42"/>
    <mergeCell ref="AG41:AI42"/>
    <mergeCell ref="B43:Q44"/>
    <mergeCell ref="R43:T44"/>
    <mergeCell ref="B37:E38"/>
    <mergeCell ref="F37:Q38"/>
    <mergeCell ref="R37:T38"/>
    <mergeCell ref="U37:V38"/>
    <mergeCell ref="W37:X38"/>
    <mergeCell ref="Y37:Z38"/>
    <mergeCell ref="B33:E36"/>
    <mergeCell ref="AA37:AB38"/>
    <mergeCell ref="AC37:AD38"/>
    <mergeCell ref="AE31:AF32"/>
    <mergeCell ref="AG31:AI32"/>
    <mergeCell ref="Y33:Z34"/>
    <mergeCell ref="AA33:AB34"/>
    <mergeCell ref="AC33:AD34"/>
    <mergeCell ref="AE33:AF34"/>
    <mergeCell ref="AG33:AI34"/>
    <mergeCell ref="F35:Q36"/>
    <mergeCell ref="R35:T36"/>
    <mergeCell ref="U35:V36"/>
    <mergeCell ref="W35:X36"/>
    <mergeCell ref="Y35:Z36"/>
    <mergeCell ref="F33:Q34"/>
    <mergeCell ref="R33:T34"/>
    <mergeCell ref="U33:V34"/>
    <mergeCell ref="W33:X34"/>
    <mergeCell ref="AA35:AB36"/>
    <mergeCell ref="AC35:AD36"/>
    <mergeCell ref="AE35:AF36"/>
    <mergeCell ref="AG35:AI36"/>
    <mergeCell ref="AG27:AI28"/>
    <mergeCell ref="B29:Q30"/>
    <mergeCell ref="R29:T30"/>
    <mergeCell ref="U29:V30"/>
    <mergeCell ref="W29:X30"/>
    <mergeCell ref="Y29:Z30"/>
    <mergeCell ref="AA29:AB30"/>
    <mergeCell ref="AC29:AD30"/>
    <mergeCell ref="AE29:AF30"/>
    <mergeCell ref="AG29:AI30"/>
    <mergeCell ref="AG23:AI24"/>
    <mergeCell ref="B25:Q26"/>
    <mergeCell ref="R25:T26"/>
    <mergeCell ref="U25:V26"/>
    <mergeCell ref="W25:X26"/>
    <mergeCell ref="Y25:Z26"/>
    <mergeCell ref="AA25:AB26"/>
    <mergeCell ref="AC25:AD26"/>
    <mergeCell ref="AE25:AF26"/>
    <mergeCell ref="AG25:AI26"/>
    <mergeCell ref="A23:A32"/>
    <mergeCell ref="B23:Q24"/>
    <mergeCell ref="R23:T24"/>
    <mergeCell ref="U23:V24"/>
    <mergeCell ref="W23:X24"/>
    <mergeCell ref="Y23:Z24"/>
    <mergeCell ref="AA23:AB24"/>
    <mergeCell ref="AC23:AD24"/>
    <mergeCell ref="AE23:AF24"/>
    <mergeCell ref="B27:Q28"/>
    <mergeCell ref="R27:T28"/>
    <mergeCell ref="U27:V28"/>
    <mergeCell ref="W27:X28"/>
    <mergeCell ref="Y27:Z28"/>
    <mergeCell ref="AA27:AB28"/>
    <mergeCell ref="AC27:AD28"/>
    <mergeCell ref="AE27:AF28"/>
    <mergeCell ref="B31:Q32"/>
    <mergeCell ref="R31:T32"/>
    <mergeCell ref="U31:V32"/>
    <mergeCell ref="W31:X32"/>
    <mergeCell ref="Y31:Z32"/>
    <mergeCell ref="AA31:AB32"/>
    <mergeCell ref="AC31:AD32"/>
    <mergeCell ref="W18:AI18"/>
    <mergeCell ref="A21:Q22"/>
    <mergeCell ref="R21:T22"/>
    <mergeCell ref="U21:V22"/>
    <mergeCell ref="W21:AF21"/>
    <mergeCell ref="AG21:AI22"/>
    <mergeCell ref="W22:X22"/>
    <mergeCell ref="Y22:Z22"/>
    <mergeCell ref="AA22:AB22"/>
    <mergeCell ref="AC22:AD22"/>
    <mergeCell ref="AE22:AF22"/>
    <mergeCell ref="AV25:AW26"/>
    <mergeCell ref="A6:AI6"/>
    <mergeCell ref="A10:D11"/>
    <mergeCell ref="E10:AI11"/>
    <mergeCell ref="A12:D13"/>
    <mergeCell ref="F12:AI12"/>
    <mergeCell ref="E13:AI13"/>
    <mergeCell ref="Z1:AB1"/>
    <mergeCell ref="AC1:AE1"/>
    <mergeCell ref="Z2:AB4"/>
    <mergeCell ref="AC2:AE4"/>
    <mergeCell ref="A14:D15"/>
    <mergeCell ref="E14:G15"/>
    <mergeCell ref="H14:S15"/>
    <mergeCell ref="T14:V15"/>
    <mergeCell ref="W14:AI15"/>
    <mergeCell ref="A16:D18"/>
    <mergeCell ref="E16:G17"/>
    <mergeCell ref="H16:S17"/>
    <mergeCell ref="T16:V17"/>
    <mergeCell ref="W16:AI17"/>
    <mergeCell ref="E18:G18"/>
    <mergeCell ref="H18:S18"/>
    <mergeCell ref="T18:V18"/>
    <mergeCell ref="AX25:AY26"/>
    <mergeCell ref="AZ25:BA26"/>
    <mergeCell ref="AP27:AQ28"/>
    <mergeCell ref="AR27:AS28"/>
    <mergeCell ref="AT27:AU28"/>
    <mergeCell ref="AV27:AW28"/>
    <mergeCell ref="AX27:AY28"/>
    <mergeCell ref="AZ27:BA28"/>
    <mergeCell ref="AP21:AQ22"/>
    <mergeCell ref="AR21:BA21"/>
    <mergeCell ref="AR22:AS22"/>
    <mergeCell ref="AT22:AU22"/>
    <mergeCell ref="AV22:AW22"/>
    <mergeCell ref="AX22:AY22"/>
    <mergeCell ref="AZ22:BA22"/>
    <mergeCell ref="AP23:AQ24"/>
    <mergeCell ref="AR23:AS24"/>
    <mergeCell ref="AT23:AU24"/>
    <mergeCell ref="AV23:AW24"/>
    <mergeCell ref="AX23:AY24"/>
    <mergeCell ref="AZ23:BA24"/>
    <mergeCell ref="AP25:AQ26"/>
    <mergeCell ref="AR25:AS26"/>
    <mergeCell ref="AT25:AU26"/>
    <mergeCell ref="AP29:AQ30"/>
    <mergeCell ref="AR29:AS30"/>
    <mergeCell ref="AT29:AU30"/>
    <mergeCell ref="AV29:AW30"/>
    <mergeCell ref="AX29:AY30"/>
    <mergeCell ref="AZ29:BA30"/>
    <mergeCell ref="AP31:AQ32"/>
    <mergeCell ref="AR31:AS32"/>
    <mergeCell ref="AT31:AU32"/>
    <mergeCell ref="AV31:AW32"/>
    <mergeCell ref="AX31:AY32"/>
    <mergeCell ref="AZ31:BA32"/>
    <mergeCell ref="AP33:AQ34"/>
    <mergeCell ref="AR33:AS34"/>
    <mergeCell ref="AT33:AU34"/>
    <mergeCell ref="AV33:AW34"/>
    <mergeCell ref="AX33:AY34"/>
    <mergeCell ref="AZ33:BA34"/>
    <mergeCell ref="AP35:AQ36"/>
    <mergeCell ref="AR35:AS36"/>
    <mergeCell ref="AT35:AU36"/>
    <mergeCell ref="AV35:AW36"/>
    <mergeCell ref="AX35:AY36"/>
    <mergeCell ref="AZ35:BA36"/>
    <mergeCell ref="AP37:AQ38"/>
    <mergeCell ref="AR37:AS38"/>
    <mergeCell ref="AT37:AU38"/>
    <mergeCell ref="AV37:AW38"/>
    <mergeCell ref="AX37:AY38"/>
    <mergeCell ref="AZ37:BA38"/>
    <mergeCell ref="AP39:AQ40"/>
    <mergeCell ref="AR39:AS40"/>
    <mergeCell ref="AT39:AU40"/>
    <mergeCell ref="AV39:AW40"/>
    <mergeCell ref="AX39:AY40"/>
    <mergeCell ref="AZ39:BA40"/>
    <mergeCell ref="AP47:AQ48"/>
    <mergeCell ref="AR47:AS48"/>
    <mergeCell ref="AT47:AU48"/>
    <mergeCell ref="AV47:AW48"/>
    <mergeCell ref="AX47:AY48"/>
    <mergeCell ref="AZ47:BA48"/>
    <mergeCell ref="AP41:AQ42"/>
    <mergeCell ref="AR41:AS42"/>
    <mergeCell ref="AT41:AU42"/>
    <mergeCell ref="AV41:AW42"/>
    <mergeCell ref="AX41:AY42"/>
    <mergeCell ref="AZ41:BA42"/>
    <mergeCell ref="AP43:AQ44"/>
    <mergeCell ref="AR43:AS44"/>
    <mergeCell ref="AT43:AU44"/>
    <mergeCell ref="AV43:AW44"/>
    <mergeCell ref="AX43:AY44"/>
    <mergeCell ref="AZ43:BA44"/>
    <mergeCell ref="AZ53:BA54"/>
    <mergeCell ref="AX53:AY54"/>
    <mergeCell ref="AV53:AW54"/>
    <mergeCell ref="AT53:AU54"/>
    <mergeCell ref="AR53:AS54"/>
    <mergeCell ref="AP19:BA19"/>
    <mergeCell ref="AP49:AQ50"/>
    <mergeCell ref="AR49:AS50"/>
    <mergeCell ref="AT49:AU50"/>
    <mergeCell ref="AV49:AW50"/>
    <mergeCell ref="AX49:AY50"/>
    <mergeCell ref="AZ49:BA50"/>
    <mergeCell ref="AP51:AQ52"/>
    <mergeCell ref="AR51:AS52"/>
    <mergeCell ref="AT51:AU52"/>
    <mergeCell ref="AV51:AW52"/>
    <mergeCell ref="AX51:AY52"/>
    <mergeCell ref="AZ51:BA52"/>
    <mergeCell ref="AP45:AQ46"/>
    <mergeCell ref="AR45:AS46"/>
    <mergeCell ref="AT45:AU46"/>
    <mergeCell ref="AV45:AW46"/>
    <mergeCell ref="AX45:AY46"/>
    <mergeCell ref="AZ45:BA46"/>
  </mergeCells>
  <phoneticPr fontId="4"/>
  <dataValidations count="2">
    <dataValidation imeMode="on" allowBlank="1" showInputMessage="1" showErrorMessage="1" sqref="AC2:AE4" xr:uid="{BE603DB5-BD70-4D33-813E-297B34A75F47}"/>
    <dataValidation imeMode="off" allowBlank="1" showInputMessage="1" showErrorMessage="1" sqref="Z2:AB4" xr:uid="{9152A6B9-7495-402C-BB14-F3000CE69C01}"/>
  </dataValidations>
  <pageMargins left="0.59055118110236227" right="0.39370078740157483"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A83"/>
  <sheetViews>
    <sheetView topLeftCell="A17" workbookViewId="0">
      <selection activeCell="H26" sqref="A23:AJ43"/>
    </sheetView>
  </sheetViews>
  <sheetFormatPr defaultColWidth="2.625" defaultRowHeight="12"/>
  <cols>
    <col min="1" max="1" width="3.75" style="204" customWidth="1"/>
    <col min="2" max="36" width="2.625" style="204"/>
    <col min="37" max="37" width="2.625" style="204" customWidth="1"/>
    <col min="38" max="40" width="6.125" style="204" hidden="1" customWidth="1"/>
    <col min="41" max="43" width="2.625" style="204" customWidth="1"/>
    <col min="44" max="16384" width="2.625" style="204"/>
  </cols>
  <sheetData>
    <row r="1" spans="1:36" s="199" customFormat="1">
      <c r="A1" s="143"/>
      <c r="B1" s="143"/>
      <c r="C1" s="143"/>
      <c r="D1" s="143"/>
      <c r="E1" s="143"/>
      <c r="F1" s="143"/>
      <c r="G1" s="143"/>
      <c r="H1" s="143"/>
      <c r="I1" s="143"/>
      <c r="J1" s="143"/>
      <c r="K1" s="143"/>
      <c r="L1" s="195"/>
      <c r="M1" s="195"/>
      <c r="N1" s="195"/>
      <c r="O1" s="195"/>
      <c r="P1" s="195"/>
      <c r="Q1" s="195"/>
      <c r="R1" s="195"/>
      <c r="S1" s="143"/>
      <c r="T1" s="143"/>
      <c r="U1" s="143"/>
      <c r="V1" s="143"/>
      <c r="W1" s="143"/>
      <c r="X1" s="195"/>
      <c r="Y1" s="143"/>
      <c r="Z1" s="143"/>
      <c r="AA1" s="1474" t="s">
        <v>281</v>
      </c>
      <c r="AB1" s="1475"/>
      <c r="AC1" s="1476"/>
      <c r="AD1" s="1474" t="s">
        <v>282</v>
      </c>
      <c r="AE1" s="1475"/>
      <c r="AF1" s="1476"/>
      <c r="AG1" s="1474" t="s">
        <v>315</v>
      </c>
      <c r="AH1" s="1475"/>
      <c r="AI1" s="1476"/>
      <c r="AJ1" s="143"/>
    </row>
    <row r="2" spans="1:36" s="199" customFormat="1">
      <c r="A2" s="143"/>
      <c r="B2" s="143"/>
      <c r="C2" s="143"/>
      <c r="D2" s="143"/>
      <c r="E2" s="143"/>
      <c r="F2" s="143"/>
      <c r="G2" s="143"/>
      <c r="H2" s="143"/>
      <c r="I2" s="143"/>
      <c r="J2" s="143"/>
      <c r="K2" s="143"/>
      <c r="L2" s="195"/>
      <c r="M2" s="195"/>
      <c r="N2" s="195"/>
      <c r="O2" s="195"/>
      <c r="P2" s="195"/>
      <c r="Q2" s="195"/>
      <c r="R2" s="195"/>
      <c r="S2" s="143"/>
      <c r="T2" s="143"/>
      <c r="U2" s="143"/>
      <c r="V2" s="143"/>
      <c r="W2" s="143"/>
      <c r="X2" s="195"/>
      <c r="Y2" s="143"/>
      <c r="Z2" s="143"/>
      <c r="AA2" s="1477"/>
      <c r="AB2" s="1477"/>
      <c r="AC2" s="1477"/>
      <c r="AD2" s="536"/>
      <c r="AE2" s="474"/>
      <c r="AF2" s="1478"/>
      <c r="AG2" s="563" t="str">
        <f>IF(OR(内訳書!L2="○",内訳書!L2="◎"),内訳書!H2,"")</f>
        <v/>
      </c>
      <c r="AH2" s="564"/>
      <c r="AI2" s="565"/>
      <c r="AJ2" s="143"/>
    </row>
    <row r="3" spans="1:36" s="199" customFormat="1">
      <c r="A3" s="143"/>
      <c r="B3" s="143"/>
      <c r="C3" s="143"/>
      <c r="D3" s="143"/>
      <c r="E3" s="143"/>
      <c r="F3" s="143"/>
      <c r="G3" s="143"/>
      <c r="H3" s="143"/>
      <c r="I3" s="143"/>
      <c r="J3" s="143"/>
      <c r="K3" s="143"/>
      <c r="L3" s="195"/>
      <c r="M3" s="195"/>
      <c r="N3" s="195"/>
      <c r="O3" s="195"/>
      <c r="P3" s="195"/>
      <c r="Q3" s="195"/>
      <c r="R3" s="195"/>
      <c r="S3" s="143"/>
      <c r="T3" s="143"/>
      <c r="U3" s="143"/>
      <c r="V3" s="143"/>
      <c r="W3" s="143"/>
      <c r="X3" s="195"/>
      <c r="Y3" s="143"/>
      <c r="Z3" s="143"/>
      <c r="AA3" s="1477"/>
      <c r="AB3" s="1477"/>
      <c r="AC3" s="1477"/>
      <c r="AD3" s="631"/>
      <c r="AE3" s="472"/>
      <c r="AF3" s="632"/>
      <c r="AG3" s="1479"/>
      <c r="AH3" s="1029"/>
      <c r="AI3" s="1030"/>
      <c r="AJ3" s="143"/>
    </row>
    <row r="4" spans="1:36" s="199" customFormat="1">
      <c r="A4" s="143"/>
      <c r="B4" s="143"/>
      <c r="C4" s="143"/>
      <c r="D4" s="143"/>
      <c r="E4" s="144"/>
      <c r="F4" s="143"/>
      <c r="G4" s="143"/>
      <c r="H4" s="143"/>
      <c r="I4" s="143"/>
      <c r="J4" s="143"/>
      <c r="K4" s="143"/>
      <c r="L4" s="143"/>
      <c r="M4" s="143"/>
      <c r="N4" s="143"/>
      <c r="O4" s="143"/>
      <c r="P4" s="143"/>
      <c r="Q4" s="143"/>
      <c r="R4" s="143"/>
      <c r="S4" s="143"/>
      <c r="T4" s="143"/>
      <c r="U4" s="143"/>
      <c r="V4" s="143"/>
      <c r="W4" s="143"/>
      <c r="X4" s="143"/>
      <c r="Y4" s="143"/>
      <c r="Z4" s="143"/>
      <c r="AA4" s="1477"/>
      <c r="AB4" s="1477"/>
      <c r="AC4" s="1477"/>
      <c r="AD4" s="559"/>
      <c r="AE4" s="560"/>
      <c r="AF4" s="561"/>
      <c r="AG4" s="824"/>
      <c r="AH4" s="687"/>
      <c r="AI4" s="688"/>
      <c r="AJ4" s="143"/>
    </row>
    <row r="5" spans="1:36" s="199" customFormat="1" ht="33" customHeight="1">
      <c r="A5" s="143"/>
      <c r="B5" s="143"/>
      <c r="C5" s="143"/>
      <c r="D5" s="143"/>
      <c r="E5" s="144"/>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row>
    <row r="6" spans="1:36" s="199" customFormat="1" ht="17.25">
      <c r="A6" s="633" t="s">
        <v>235</v>
      </c>
      <c r="B6" s="633"/>
      <c r="C6" s="633"/>
      <c r="D6" s="633"/>
      <c r="E6" s="633"/>
      <c r="F6" s="633"/>
      <c r="G6" s="633"/>
      <c r="H6" s="633"/>
      <c r="I6" s="633"/>
      <c r="J6" s="633"/>
      <c r="K6" s="633"/>
      <c r="L6" s="633"/>
      <c r="M6" s="633"/>
      <c r="N6" s="633"/>
      <c r="O6" s="633"/>
      <c r="P6" s="633"/>
      <c r="Q6" s="633"/>
      <c r="R6" s="633"/>
      <c r="S6" s="633"/>
      <c r="T6" s="633"/>
      <c r="U6" s="633"/>
      <c r="V6" s="633"/>
      <c r="W6" s="633"/>
      <c r="X6" s="633"/>
      <c r="Y6" s="633"/>
      <c r="Z6" s="633"/>
      <c r="AA6" s="633"/>
      <c r="AB6" s="633"/>
      <c r="AC6" s="633"/>
      <c r="AD6" s="633"/>
      <c r="AE6" s="633"/>
      <c r="AF6" s="633"/>
      <c r="AG6" s="633"/>
      <c r="AH6" s="633"/>
      <c r="AI6" s="633"/>
      <c r="AJ6" s="143"/>
    </row>
    <row r="7" spans="1:36" s="199" customFormat="1" ht="17.25">
      <c r="A7" s="368"/>
      <c r="B7" s="368"/>
      <c r="C7" s="368"/>
      <c r="D7" s="368"/>
      <c r="E7" s="368"/>
      <c r="F7" s="368"/>
      <c r="G7" s="368"/>
      <c r="H7" s="368"/>
      <c r="I7" s="368"/>
      <c r="J7" s="368"/>
      <c r="K7" s="368"/>
      <c r="L7" s="368"/>
      <c r="M7" s="368"/>
      <c r="N7" s="368"/>
      <c r="O7" s="368"/>
      <c r="P7" s="368"/>
      <c r="Q7" s="368"/>
      <c r="R7" s="368"/>
      <c r="S7" s="368"/>
      <c r="T7" s="368"/>
      <c r="U7" s="368"/>
      <c r="V7" s="368"/>
      <c r="W7" s="368"/>
      <c r="X7" s="368"/>
      <c r="Y7" s="368"/>
      <c r="Z7" s="368"/>
      <c r="AA7" s="368"/>
      <c r="AB7" s="368"/>
      <c r="AC7" s="368"/>
      <c r="AD7" s="368"/>
      <c r="AE7" s="368"/>
      <c r="AF7" s="368"/>
      <c r="AG7" s="368"/>
      <c r="AH7" s="368"/>
      <c r="AI7" s="368"/>
      <c r="AJ7" s="143"/>
    </row>
    <row r="8" spans="1:36" s="199" customFormat="1">
      <c r="A8" s="143"/>
      <c r="B8" s="143"/>
      <c r="C8" s="143"/>
      <c r="D8" s="143"/>
      <c r="E8" s="144"/>
      <c r="F8" s="143"/>
      <c r="G8" s="143"/>
      <c r="H8" s="143"/>
      <c r="I8" s="143"/>
      <c r="J8" s="143"/>
      <c r="K8" s="143"/>
      <c r="L8" s="195"/>
      <c r="M8" s="195"/>
      <c r="N8" s="195"/>
      <c r="O8" s="195"/>
      <c r="P8" s="195"/>
      <c r="Q8" s="195"/>
      <c r="R8" s="195"/>
      <c r="S8" s="143"/>
      <c r="T8" s="143"/>
      <c r="U8" s="143"/>
      <c r="V8" s="143"/>
      <c r="W8" s="143"/>
      <c r="X8" s="143"/>
      <c r="Y8" s="143"/>
      <c r="Z8" s="143"/>
      <c r="AA8" s="143"/>
      <c r="AB8" s="143"/>
      <c r="AC8" s="143"/>
      <c r="AD8" s="143"/>
      <c r="AE8" s="143"/>
      <c r="AF8" s="143"/>
      <c r="AG8" s="143"/>
      <c r="AH8" s="143"/>
      <c r="AI8" s="143"/>
      <c r="AJ8" s="143"/>
    </row>
    <row r="9" spans="1:36" s="199" customFormat="1">
      <c r="A9" s="143" t="s">
        <v>364</v>
      </c>
      <c r="B9" s="143"/>
      <c r="C9" s="143"/>
      <c r="D9" s="143"/>
      <c r="E9" s="143"/>
      <c r="F9" s="143"/>
      <c r="G9" s="143"/>
      <c r="H9" s="143"/>
      <c r="I9" s="143"/>
      <c r="J9" s="143"/>
      <c r="K9" s="143"/>
      <c r="L9" s="195"/>
      <c r="M9" s="195"/>
      <c r="N9" s="195"/>
      <c r="O9" s="195"/>
      <c r="P9" s="195"/>
      <c r="Q9" s="195"/>
      <c r="R9" s="195"/>
      <c r="S9" s="143"/>
      <c r="T9" s="143"/>
      <c r="U9" s="143"/>
      <c r="V9" s="143"/>
      <c r="W9" s="143"/>
      <c r="X9" s="143"/>
      <c r="Y9" s="143"/>
      <c r="Z9" s="143"/>
      <c r="AA9" s="143"/>
      <c r="AB9" s="143"/>
      <c r="AC9" s="143"/>
      <c r="AD9" s="143"/>
      <c r="AE9" s="143"/>
      <c r="AF9" s="143"/>
      <c r="AG9" s="143"/>
      <c r="AH9" s="143"/>
      <c r="AI9" s="143"/>
      <c r="AJ9" s="143"/>
    </row>
    <row r="10" spans="1:36" s="199" customFormat="1" ht="23.25" customHeight="1">
      <c r="A10" s="143"/>
      <c r="B10" s="143"/>
      <c r="C10" s="143"/>
      <c r="D10" s="143"/>
      <c r="E10" s="143"/>
      <c r="F10" s="143"/>
      <c r="G10" s="143"/>
      <c r="H10" s="143"/>
      <c r="I10" s="143"/>
      <c r="J10" s="143"/>
      <c r="K10" s="143"/>
      <c r="L10" s="195"/>
      <c r="M10" s="195"/>
      <c r="N10" s="195"/>
      <c r="O10" s="195"/>
      <c r="P10" s="195"/>
      <c r="Q10" s="195"/>
      <c r="R10" s="195"/>
      <c r="S10" s="143"/>
      <c r="T10" s="143"/>
      <c r="U10" s="143"/>
      <c r="V10" s="143"/>
      <c r="W10" s="143"/>
      <c r="X10" s="143"/>
      <c r="Y10" s="143"/>
      <c r="Z10" s="143"/>
      <c r="AA10" s="143"/>
      <c r="AB10" s="143"/>
      <c r="AC10" s="143"/>
      <c r="AD10" s="143"/>
      <c r="AE10" s="143"/>
      <c r="AF10" s="143"/>
      <c r="AG10" s="143"/>
      <c r="AH10" s="143"/>
      <c r="AI10" s="143"/>
      <c r="AJ10" s="143"/>
    </row>
    <row r="11" spans="1:36" s="199" customFormat="1">
      <c r="A11" s="462" t="s">
        <v>236</v>
      </c>
      <c r="B11" s="462"/>
      <c r="C11" s="462"/>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2"/>
      <c r="AF11" s="462"/>
      <c r="AG11" s="462"/>
      <c r="AH11" s="462"/>
      <c r="AI11" s="462"/>
      <c r="AJ11" s="143"/>
    </row>
    <row r="12" spans="1:36" s="199" customFormat="1">
      <c r="A12" s="462" t="s">
        <v>260</v>
      </c>
      <c r="B12" s="462"/>
      <c r="C12" s="462"/>
      <c r="D12" s="462"/>
      <c r="E12" s="462"/>
      <c r="F12" s="462"/>
      <c r="G12" s="462"/>
      <c r="H12" s="462"/>
      <c r="I12" s="462"/>
      <c r="J12" s="462"/>
      <c r="K12" s="462"/>
      <c r="L12" s="462"/>
      <c r="M12" s="462"/>
      <c r="N12" s="462"/>
      <c r="O12" s="462"/>
      <c r="P12" s="462"/>
      <c r="Q12" s="462"/>
      <c r="R12" s="462"/>
      <c r="S12" s="462"/>
      <c r="T12" s="462"/>
      <c r="U12" s="462"/>
      <c r="V12" s="462"/>
      <c r="W12" s="462"/>
      <c r="X12" s="462"/>
      <c r="Y12" s="462"/>
      <c r="Z12" s="462"/>
      <c r="AA12" s="462"/>
      <c r="AB12" s="462"/>
      <c r="AC12" s="462"/>
      <c r="AD12" s="462"/>
      <c r="AE12" s="462"/>
      <c r="AF12" s="462"/>
      <c r="AG12" s="462"/>
      <c r="AH12" s="462"/>
      <c r="AI12" s="462"/>
      <c r="AJ12" s="143"/>
    </row>
    <row r="13" spans="1:36" s="199" customFormat="1">
      <c r="A13" s="190"/>
      <c r="B13" s="190"/>
      <c r="C13" s="190"/>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43"/>
    </row>
    <row r="14" spans="1:36" s="199" customFormat="1">
      <c r="A14" s="190"/>
      <c r="B14" s="190"/>
      <c r="C14" s="190"/>
      <c r="D14" s="190"/>
      <c r="E14" s="190"/>
      <c r="F14" s="190"/>
      <c r="G14" s="190"/>
      <c r="H14" s="190"/>
      <c r="I14" s="190"/>
      <c r="J14" s="190"/>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43"/>
    </row>
    <row r="15" spans="1:36" s="199" customFormat="1" ht="21.75" customHeight="1">
      <c r="A15" s="517" t="s">
        <v>67</v>
      </c>
      <c r="B15" s="517"/>
      <c r="C15" s="517"/>
      <c r="D15" s="517"/>
      <c r="E15" s="517"/>
      <c r="F15" s="517"/>
      <c r="G15" s="517"/>
      <c r="H15" s="517"/>
      <c r="I15" s="517"/>
      <c r="J15" s="517"/>
      <c r="K15" s="517"/>
      <c r="L15" s="517"/>
      <c r="M15" s="517"/>
      <c r="N15" s="517"/>
      <c r="O15" s="517"/>
      <c r="P15" s="517"/>
      <c r="Q15" s="517"/>
      <c r="R15" s="517"/>
      <c r="S15" s="517"/>
      <c r="T15" s="517"/>
      <c r="U15" s="517"/>
      <c r="V15" s="517"/>
      <c r="W15" s="517"/>
      <c r="X15" s="517"/>
      <c r="Y15" s="517"/>
      <c r="Z15" s="517"/>
      <c r="AA15" s="517"/>
      <c r="AB15" s="517"/>
      <c r="AC15" s="517"/>
      <c r="AD15" s="517"/>
      <c r="AE15" s="517"/>
      <c r="AF15" s="517"/>
      <c r="AG15" s="517"/>
      <c r="AH15" s="517"/>
      <c r="AI15" s="517"/>
      <c r="AJ15" s="143"/>
    </row>
    <row r="16" spans="1:36" s="199" customFormat="1">
      <c r="A16" s="191"/>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43"/>
    </row>
    <row r="17" spans="1:53" s="199" customFormat="1">
      <c r="A17" s="191"/>
      <c r="B17" s="191"/>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43"/>
    </row>
    <row r="18" spans="1:53" s="199" customFormat="1" ht="15" thickBot="1">
      <c r="A18" s="166" t="s">
        <v>32</v>
      </c>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43"/>
    </row>
    <row r="19" spans="1:53" s="199" customFormat="1" ht="18" customHeight="1">
      <c r="A19" s="724" t="s">
        <v>0</v>
      </c>
      <c r="B19" s="634"/>
      <c r="C19" s="634"/>
      <c r="D19" s="635"/>
      <c r="E19" s="1480" t="str">
        <f>IF(申込書!E16="","",申込書!E16)</f>
        <v/>
      </c>
      <c r="F19" s="1481"/>
      <c r="G19" s="1481"/>
      <c r="H19" s="1481"/>
      <c r="I19" s="1481"/>
      <c r="J19" s="1481"/>
      <c r="K19" s="1481"/>
      <c r="L19" s="1481"/>
      <c r="M19" s="1481"/>
      <c r="N19" s="1481"/>
      <c r="O19" s="1481"/>
      <c r="P19" s="1481"/>
      <c r="Q19" s="1481"/>
      <c r="R19" s="1481"/>
      <c r="S19" s="1481"/>
      <c r="T19" s="1481"/>
      <c r="U19" s="1481"/>
      <c r="V19" s="1481"/>
      <c r="W19" s="1481"/>
      <c r="X19" s="1481"/>
      <c r="Y19" s="1481"/>
      <c r="Z19" s="1481"/>
      <c r="AA19" s="1481"/>
      <c r="AB19" s="1481"/>
      <c r="AC19" s="1481"/>
      <c r="AD19" s="1481"/>
      <c r="AE19" s="1481"/>
      <c r="AF19" s="1481"/>
      <c r="AG19" s="1481"/>
      <c r="AH19" s="1481"/>
      <c r="AI19" s="1482"/>
      <c r="AJ19" s="143"/>
    </row>
    <row r="20" spans="1:53" s="199" customFormat="1" ht="18" customHeight="1">
      <c r="A20" s="686"/>
      <c r="B20" s="687"/>
      <c r="C20" s="687"/>
      <c r="D20" s="688"/>
      <c r="E20" s="1483"/>
      <c r="F20" s="930"/>
      <c r="G20" s="930"/>
      <c r="H20" s="930"/>
      <c r="I20" s="930"/>
      <c r="J20" s="930"/>
      <c r="K20" s="930"/>
      <c r="L20" s="930"/>
      <c r="M20" s="930"/>
      <c r="N20" s="930"/>
      <c r="O20" s="930"/>
      <c r="P20" s="930"/>
      <c r="Q20" s="930"/>
      <c r="R20" s="930"/>
      <c r="S20" s="930"/>
      <c r="T20" s="930"/>
      <c r="U20" s="930"/>
      <c r="V20" s="930"/>
      <c r="W20" s="930"/>
      <c r="X20" s="930"/>
      <c r="Y20" s="930"/>
      <c r="Z20" s="930"/>
      <c r="AA20" s="930"/>
      <c r="AB20" s="930"/>
      <c r="AC20" s="930"/>
      <c r="AD20" s="930"/>
      <c r="AE20" s="930"/>
      <c r="AF20" s="930"/>
      <c r="AG20" s="930"/>
      <c r="AH20" s="930"/>
      <c r="AI20" s="1484"/>
      <c r="AJ20" s="143"/>
    </row>
    <row r="21" spans="1:53" s="199" customFormat="1">
      <c r="A21" s="543" t="s">
        <v>173</v>
      </c>
      <c r="B21" s="544"/>
      <c r="C21" s="544"/>
      <c r="D21" s="545"/>
      <c r="E21" s="194" t="s">
        <v>10</v>
      </c>
      <c r="F21" s="615" t="str">
        <f>IF(申込書!F22="","",申込書!F22)</f>
        <v/>
      </c>
      <c r="G21" s="615"/>
      <c r="H21" s="615"/>
      <c r="I21" s="615"/>
      <c r="J21" s="615"/>
      <c r="K21" s="615"/>
      <c r="L21" s="615"/>
      <c r="M21" s="615"/>
      <c r="N21" s="615"/>
      <c r="O21" s="615"/>
      <c r="P21" s="615"/>
      <c r="Q21" s="615"/>
      <c r="R21" s="615"/>
      <c r="S21" s="615"/>
      <c r="T21" s="615"/>
      <c r="U21" s="615"/>
      <c r="V21" s="615"/>
      <c r="W21" s="615"/>
      <c r="X21" s="615"/>
      <c r="Y21" s="615"/>
      <c r="Z21" s="615"/>
      <c r="AA21" s="615"/>
      <c r="AB21" s="615"/>
      <c r="AC21" s="615"/>
      <c r="AD21" s="615"/>
      <c r="AE21" s="615"/>
      <c r="AF21" s="615"/>
      <c r="AG21" s="615"/>
      <c r="AH21" s="615"/>
      <c r="AI21" s="616"/>
      <c r="AJ21" s="143"/>
    </row>
    <row r="22" spans="1:53" s="199" customFormat="1" ht="18" customHeight="1">
      <c r="A22" s="729"/>
      <c r="B22" s="730"/>
      <c r="C22" s="730"/>
      <c r="D22" s="731"/>
      <c r="E22" s="1485" t="str">
        <f>IF(申込書!E23="","",申込書!E23)</f>
        <v/>
      </c>
      <c r="F22" s="1486"/>
      <c r="G22" s="1486"/>
      <c r="H22" s="1486"/>
      <c r="I22" s="1486"/>
      <c r="J22" s="1486"/>
      <c r="K22" s="1486"/>
      <c r="L22" s="1486"/>
      <c r="M22" s="1486"/>
      <c r="N22" s="1486"/>
      <c r="O22" s="1486"/>
      <c r="P22" s="1486"/>
      <c r="Q22" s="1486"/>
      <c r="R22" s="1486"/>
      <c r="S22" s="1486"/>
      <c r="T22" s="1486"/>
      <c r="U22" s="1486"/>
      <c r="V22" s="1486"/>
      <c r="W22" s="1486"/>
      <c r="X22" s="1486"/>
      <c r="Y22" s="1486"/>
      <c r="Z22" s="1486"/>
      <c r="AA22" s="1486"/>
      <c r="AB22" s="1486"/>
      <c r="AC22" s="1486"/>
      <c r="AD22" s="1486"/>
      <c r="AE22" s="1486"/>
      <c r="AF22" s="1486"/>
      <c r="AG22" s="1486"/>
      <c r="AH22" s="1486"/>
      <c r="AI22" s="1487"/>
      <c r="AJ22" s="143"/>
    </row>
    <row r="23" spans="1:53" s="199" customFormat="1" ht="18" customHeight="1">
      <c r="A23" s="685" t="s">
        <v>11</v>
      </c>
      <c r="B23" s="564"/>
      <c r="C23" s="564"/>
      <c r="D23" s="565"/>
      <c r="E23" s="563" t="s">
        <v>9</v>
      </c>
      <c r="F23" s="564"/>
      <c r="G23" s="565"/>
      <c r="H23" s="1488" t="str">
        <f>IF(申込書!H25="","",申込書!H25)</f>
        <v/>
      </c>
      <c r="I23" s="1489"/>
      <c r="J23" s="1489"/>
      <c r="K23" s="1489"/>
      <c r="L23" s="1489"/>
      <c r="M23" s="1489"/>
      <c r="N23" s="1489"/>
      <c r="O23" s="1489"/>
      <c r="P23" s="1489"/>
      <c r="Q23" s="1489"/>
      <c r="R23" s="1489"/>
      <c r="S23" s="1490"/>
      <c r="T23" s="689" t="s">
        <v>23</v>
      </c>
      <c r="U23" s="690"/>
      <c r="V23" s="691"/>
      <c r="W23" s="1488" t="str">
        <f>IF(申込書!W25="","",申込書!W25)</f>
        <v/>
      </c>
      <c r="X23" s="1489"/>
      <c r="Y23" s="1489"/>
      <c r="Z23" s="1489"/>
      <c r="AA23" s="1489"/>
      <c r="AB23" s="1489"/>
      <c r="AC23" s="1489"/>
      <c r="AD23" s="1489"/>
      <c r="AE23" s="1489"/>
      <c r="AF23" s="1489"/>
      <c r="AG23" s="1489"/>
      <c r="AH23" s="1489"/>
      <c r="AI23" s="1503"/>
      <c r="AJ23" s="143"/>
    </row>
    <row r="24" spans="1:53" s="199" customFormat="1" ht="18" customHeight="1">
      <c r="A24" s="686"/>
      <c r="B24" s="687"/>
      <c r="C24" s="687"/>
      <c r="D24" s="688"/>
      <c r="E24" s="824"/>
      <c r="F24" s="687"/>
      <c r="G24" s="688"/>
      <c r="H24" s="1491"/>
      <c r="I24" s="1492"/>
      <c r="J24" s="1492"/>
      <c r="K24" s="1492"/>
      <c r="L24" s="1492"/>
      <c r="M24" s="1492"/>
      <c r="N24" s="1492"/>
      <c r="O24" s="1492"/>
      <c r="P24" s="1492"/>
      <c r="Q24" s="1492"/>
      <c r="R24" s="1492"/>
      <c r="S24" s="1493"/>
      <c r="T24" s="587"/>
      <c r="U24" s="588"/>
      <c r="V24" s="589"/>
      <c r="W24" s="1491"/>
      <c r="X24" s="1492"/>
      <c r="Y24" s="1492"/>
      <c r="Z24" s="1492"/>
      <c r="AA24" s="1492"/>
      <c r="AB24" s="1492"/>
      <c r="AC24" s="1492"/>
      <c r="AD24" s="1492"/>
      <c r="AE24" s="1492"/>
      <c r="AF24" s="1492"/>
      <c r="AG24" s="1492"/>
      <c r="AH24" s="1492"/>
      <c r="AI24" s="1504"/>
      <c r="AJ24" s="143"/>
    </row>
    <row r="25" spans="1:53" s="199" customFormat="1" ht="18" customHeight="1">
      <c r="A25" s="605" t="s">
        <v>178</v>
      </c>
      <c r="B25" s="606"/>
      <c r="C25" s="606"/>
      <c r="D25" s="606"/>
      <c r="E25" s="563" t="s">
        <v>9</v>
      </c>
      <c r="F25" s="564"/>
      <c r="G25" s="565"/>
      <c r="H25" s="1488" t="str">
        <f>IF(申込書!H27="","",申込書!H27)</f>
        <v/>
      </c>
      <c r="I25" s="1489"/>
      <c r="J25" s="1489"/>
      <c r="K25" s="1489"/>
      <c r="L25" s="1489"/>
      <c r="M25" s="1489"/>
      <c r="N25" s="1489"/>
      <c r="O25" s="1489"/>
      <c r="P25" s="1489"/>
      <c r="Q25" s="1489"/>
      <c r="R25" s="1489"/>
      <c r="S25" s="1490"/>
      <c r="T25" s="704" t="s">
        <v>243</v>
      </c>
      <c r="U25" s="704"/>
      <c r="V25" s="704"/>
      <c r="W25" s="1494"/>
      <c r="X25" s="1495"/>
      <c r="Y25" s="1495"/>
      <c r="Z25" s="1495"/>
      <c r="AA25" s="1495"/>
      <c r="AB25" s="1495"/>
      <c r="AC25" s="1495"/>
      <c r="AD25" s="1495"/>
      <c r="AE25" s="1495"/>
      <c r="AF25" s="1495"/>
      <c r="AG25" s="1495"/>
      <c r="AH25" s="1495"/>
      <c r="AI25" s="1496"/>
      <c r="AJ25" s="143"/>
    </row>
    <row r="26" spans="1:53" s="199" customFormat="1" ht="18" customHeight="1">
      <c r="A26" s="722"/>
      <c r="B26" s="723"/>
      <c r="C26" s="723"/>
      <c r="D26" s="723"/>
      <c r="E26" s="824"/>
      <c r="F26" s="687"/>
      <c r="G26" s="688"/>
      <c r="H26" s="1491"/>
      <c r="I26" s="1492"/>
      <c r="J26" s="1492"/>
      <c r="K26" s="1492"/>
      <c r="L26" s="1492"/>
      <c r="M26" s="1492"/>
      <c r="N26" s="1492"/>
      <c r="O26" s="1492"/>
      <c r="P26" s="1492"/>
      <c r="Q26" s="1492"/>
      <c r="R26" s="1492"/>
      <c r="S26" s="1493"/>
      <c r="T26" s="705"/>
      <c r="U26" s="705"/>
      <c r="V26" s="705"/>
      <c r="W26" s="1497"/>
      <c r="X26" s="1498"/>
      <c r="Y26" s="1498"/>
      <c r="Z26" s="1498"/>
      <c r="AA26" s="1498"/>
      <c r="AB26" s="1498"/>
      <c r="AC26" s="1498"/>
      <c r="AD26" s="1498"/>
      <c r="AE26" s="1498"/>
      <c r="AF26" s="1498"/>
      <c r="AG26" s="1498"/>
      <c r="AH26" s="1498"/>
      <c r="AI26" s="1499"/>
      <c r="AJ26" s="143"/>
    </row>
    <row r="27" spans="1:53" s="199" customFormat="1" ht="18" customHeight="1" thickBot="1">
      <c r="A27" s="1088"/>
      <c r="B27" s="1089"/>
      <c r="C27" s="1089"/>
      <c r="D27" s="1089"/>
      <c r="E27" s="1500" t="s">
        <v>28</v>
      </c>
      <c r="F27" s="1500"/>
      <c r="G27" s="1500"/>
      <c r="H27" s="1501" t="str">
        <f>IF(申込書!H28="","",申込書!H28)</f>
        <v/>
      </c>
      <c r="I27" s="1501"/>
      <c r="J27" s="1501"/>
      <c r="K27" s="1501"/>
      <c r="L27" s="1501"/>
      <c r="M27" s="1501"/>
      <c r="N27" s="1501"/>
      <c r="O27" s="1501"/>
      <c r="P27" s="1501"/>
      <c r="Q27" s="1501"/>
      <c r="R27" s="1501"/>
      <c r="S27" s="1501"/>
      <c r="T27" s="601" t="s">
        <v>29</v>
      </c>
      <c r="U27" s="601"/>
      <c r="V27" s="601"/>
      <c r="W27" s="1501" t="str">
        <f>IF(申込書!W28="","",申込書!W28)</f>
        <v/>
      </c>
      <c r="X27" s="1501"/>
      <c r="Y27" s="1501"/>
      <c r="Z27" s="1501"/>
      <c r="AA27" s="1501"/>
      <c r="AB27" s="1501"/>
      <c r="AC27" s="1501"/>
      <c r="AD27" s="1501"/>
      <c r="AE27" s="1501"/>
      <c r="AF27" s="1501"/>
      <c r="AG27" s="1501"/>
      <c r="AH27" s="1501"/>
      <c r="AI27" s="1502"/>
      <c r="AJ27" s="143"/>
    </row>
    <row r="28" spans="1:53">
      <c r="A28" s="179"/>
      <c r="B28" s="179"/>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row>
    <row r="29" spans="1:53" s="199" customFormat="1" ht="15" thickBot="1">
      <c r="A29" s="166" t="s">
        <v>57</v>
      </c>
      <c r="B29" s="173"/>
      <c r="C29" s="173"/>
      <c r="D29" s="173"/>
      <c r="E29" s="173"/>
      <c r="F29" s="173"/>
      <c r="G29" s="173"/>
      <c r="H29" s="173"/>
      <c r="I29" s="173"/>
      <c r="J29" s="173"/>
      <c r="K29" s="173"/>
      <c r="L29" s="173"/>
      <c r="M29" s="173"/>
      <c r="N29" s="173"/>
      <c r="O29" s="173"/>
      <c r="P29" s="173"/>
      <c r="Q29" s="173"/>
      <c r="R29" s="173"/>
      <c r="S29" s="173"/>
      <c r="T29" s="173"/>
      <c r="U29" s="143"/>
      <c r="V29" s="143"/>
      <c r="W29" s="143"/>
      <c r="X29" s="143"/>
      <c r="Y29" s="143"/>
      <c r="Z29" s="1029"/>
      <c r="AA29" s="1029"/>
      <c r="AB29" s="1029"/>
      <c r="AC29" s="1029"/>
      <c r="AD29" s="1029"/>
      <c r="AE29" s="1029"/>
      <c r="AF29" s="1029"/>
      <c r="AG29" s="1029"/>
      <c r="AH29" s="1029"/>
      <c r="AI29" s="1029"/>
      <c r="AJ29" s="143"/>
    </row>
    <row r="30" spans="1:53" s="199" customFormat="1" ht="13.5" customHeight="1">
      <c r="A30" s="724" t="s">
        <v>59</v>
      </c>
      <c r="B30" s="634"/>
      <c r="C30" s="634"/>
      <c r="D30" s="634"/>
      <c r="E30" s="634"/>
      <c r="F30" s="634"/>
      <c r="G30" s="635"/>
      <c r="H30" s="676" t="s">
        <v>237</v>
      </c>
      <c r="I30" s="634"/>
      <c r="J30" s="634"/>
      <c r="K30" s="634"/>
      <c r="L30" s="634"/>
      <c r="M30" s="635"/>
      <c r="N30" s="676" t="s">
        <v>239</v>
      </c>
      <c r="O30" s="634"/>
      <c r="P30" s="634"/>
      <c r="Q30" s="634"/>
      <c r="R30" s="634"/>
      <c r="S30" s="635"/>
      <c r="T30" s="676" t="s">
        <v>240</v>
      </c>
      <c r="U30" s="634"/>
      <c r="V30" s="634"/>
      <c r="W30" s="634"/>
      <c r="X30" s="634"/>
      <c r="Y30" s="677"/>
      <c r="Z30" s="724" t="s">
        <v>241</v>
      </c>
      <c r="AA30" s="634"/>
      <c r="AB30" s="634"/>
      <c r="AC30" s="634"/>
      <c r="AD30" s="634"/>
      <c r="AE30" s="634"/>
      <c r="AF30" s="634"/>
      <c r="AG30" s="634"/>
      <c r="AH30" s="634"/>
      <c r="AI30" s="677"/>
      <c r="AJ30" s="143"/>
      <c r="AR30" s="1025" t="s">
        <v>287</v>
      </c>
      <c r="AS30" s="1514"/>
      <c r="AT30" s="1514"/>
      <c r="AU30" s="1514"/>
      <c r="AV30" s="1514"/>
      <c r="AW30" s="1514"/>
      <c r="AX30" s="1514"/>
      <c r="AY30" s="1514"/>
      <c r="AZ30" s="1514"/>
      <c r="BA30" s="1515"/>
    </row>
    <row r="31" spans="1:53" s="199" customFormat="1" ht="14.25" customHeight="1" thickBot="1">
      <c r="A31" s="725"/>
      <c r="B31" s="679"/>
      <c r="C31" s="679"/>
      <c r="D31" s="679"/>
      <c r="E31" s="679"/>
      <c r="F31" s="679"/>
      <c r="G31" s="680"/>
      <c r="H31" s="678" t="s">
        <v>238</v>
      </c>
      <c r="I31" s="679"/>
      <c r="J31" s="679"/>
      <c r="K31" s="679"/>
      <c r="L31" s="679"/>
      <c r="M31" s="680"/>
      <c r="N31" s="678" t="s">
        <v>58</v>
      </c>
      <c r="O31" s="679"/>
      <c r="P31" s="679"/>
      <c r="Q31" s="679"/>
      <c r="R31" s="679"/>
      <c r="S31" s="680"/>
      <c r="T31" s="678" t="s">
        <v>58</v>
      </c>
      <c r="U31" s="679"/>
      <c r="V31" s="679"/>
      <c r="W31" s="679"/>
      <c r="X31" s="679"/>
      <c r="Y31" s="681"/>
      <c r="Z31" s="725"/>
      <c r="AA31" s="679"/>
      <c r="AB31" s="679"/>
      <c r="AC31" s="679"/>
      <c r="AD31" s="679"/>
      <c r="AE31" s="679"/>
      <c r="AF31" s="679"/>
      <c r="AG31" s="679"/>
      <c r="AH31" s="679"/>
      <c r="AI31" s="681"/>
      <c r="AJ31" s="143"/>
      <c r="AR31" s="1026"/>
      <c r="AS31" s="1516"/>
      <c r="AT31" s="1516"/>
      <c r="AU31" s="1516"/>
      <c r="AV31" s="1516"/>
      <c r="AW31" s="1516"/>
      <c r="AX31" s="1516"/>
      <c r="AY31" s="1516"/>
      <c r="AZ31" s="1516"/>
      <c r="BA31" s="1517"/>
    </row>
    <row r="32" spans="1:53" s="199" customFormat="1" ht="21.75" customHeight="1" thickTop="1">
      <c r="A32" s="1468"/>
      <c r="B32" s="1469"/>
      <c r="C32" s="1469"/>
      <c r="D32" s="1469"/>
      <c r="E32" s="1469"/>
      <c r="F32" s="1469"/>
      <c r="G32" s="1470"/>
      <c r="H32" s="629"/>
      <c r="I32" s="531"/>
      <c r="J32" s="531"/>
      <c r="K32" s="531"/>
      <c r="L32" s="531"/>
      <c r="M32" s="630"/>
      <c r="N32" s="629"/>
      <c r="O32" s="531"/>
      <c r="P32" s="531"/>
      <c r="Q32" s="531"/>
      <c r="R32" s="531"/>
      <c r="S32" s="630"/>
      <c r="T32" s="629"/>
      <c r="U32" s="531"/>
      <c r="V32" s="531"/>
      <c r="W32" s="531"/>
      <c r="X32" s="531"/>
      <c r="Y32" s="630"/>
      <c r="Z32" s="1505" t="str">
        <f>IF(A32="","",IF(AND(H32&lt;&gt;"",'内訳書 (変更）'!O2=""),VLOOKUP(判定表!V16,料金!$E$1:$W$59,17,FALSE),IF(AND(N32&lt;&gt;"",'内訳書 (変更）'!O2=""),VLOOKUP(判定表!W16,料金!$E$1:$W$59,18,FALSE),IF(AND(T32&lt;&gt;"",'内訳書 (変更）'!O2=""),VLOOKUP(判定表!X16,料金!$E$1:$W$59,19,FALSE),IF(AND(H32&lt;&gt;"",'内訳書 (変更）'!O2&lt;&gt;""),VLOOKUP('判定表（変更）'!V16,料金!$E$1:$W$59,17,FALSE),IF(AND(N32&lt;&gt;"",'内訳書 (変更）'!O2&lt;&gt;""),VLOOKUP('判定表（変更）'!W16,料金!$E$1:$W$59,18,FALSE),IF(AND(T32&lt;&gt;"",'内訳書 (変更）'!O2&lt;&gt;""),VLOOKUP('判定表（変更）'!X16,料金!$E$1:$W$59,19,FALSE),"")))))))</f>
        <v/>
      </c>
      <c r="AA32" s="1463"/>
      <c r="AB32" s="1463"/>
      <c r="AC32" s="1463"/>
      <c r="AD32" s="1463"/>
      <c r="AE32" s="1463"/>
      <c r="AF32" s="1463"/>
      <c r="AG32" s="1463"/>
      <c r="AH32" s="1463"/>
      <c r="AI32" s="1464"/>
      <c r="AJ32" s="143"/>
      <c r="AR32" s="1518" t="str">
        <f>IF(A32="","",IF(AND(H32&lt;&gt;"",'内訳書 (変更）'!O2=""),VLOOKUP(判定表!V21,料金!$E$1:$W$59,17,FALSE),IF(AND(N32&lt;&gt;"",'内訳書 (変更）'!O2=""),VLOOKUP(判定表!W21,料金!$E$1:$W$59,18,FALSE),IF(AND(T32&lt;&gt;"",'内訳書 (変更）'!O2=""),VLOOKUP(判定表!X21,料金!$E$1:$W$59,19,FALSE),IF(AND(H32&lt;&gt;"",'内訳書 (変更）'!O2&lt;&gt;""),VLOOKUP('判定表（変更）'!V21,料金!$E$1:$W$59,17,FALSE),IF(AND(N32&lt;&gt;"",'内訳書 (変更）'!O2&lt;&gt;""),VLOOKUP('判定表（変更）'!W21,料金!$E$1:$W$59,18,FALSE),IF(AND(T32&lt;&gt;"",'内訳書 (変更）'!O2&lt;&gt;""),VLOOKUP('判定表（変更）'!X21,料金!$E$1:$W$59,19,FALSE),"")))))))</f>
        <v/>
      </c>
      <c r="AS32" s="1519"/>
      <c r="AT32" s="1519"/>
      <c r="AU32" s="1519"/>
      <c r="AV32" s="1519"/>
      <c r="AW32" s="1519"/>
      <c r="AX32" s="1519"/>
      <c r="AY32" s="1519"/>
      <c r="AZ32" s="1519"/>
      <c r="BA32" s="1520"/>
    </row>
    <row r="33" spans="1:53" s="199" customFormat="1" ht="21.75" customHeight="1" thickBot="1">
      <c r="A33" s="1471"/>
      <c r="B33" s="1472"/>
      <c r="C33" s="1472"/>
      <c r="D33" s="1472"/>
      <c r="E33" s="1472"/>
      <c r="F33" s="1472"/>
      <c r="G33" s="1473"/>
      <c r="H33" s="594"/>
      <c r="I33" s="595"/>
      <c r="J33" s="595"/>
      <c r="K33" s="595"/>
      <c r="L33" s="595"/>
      <c r="M33" s="669"/>
      <c r="N33" s="594"/>
      <c r="O33" s="595"/>
      <c r="P33" s="595"/>
      <c r="Q33" s="595"/>
      <c r="R33" s="595"/>
      <c r="S33" s="669"/>
      <c r="T33" s="594"/>
      <c r="U33" s="595"/>
      <c r="V33" s="595"/>
      <c r="W33" s="595"/>
      <c r="X33" s="595"/>
      <c r="Y33" s="669"/>
      <c r="Z33" s="1506"/>
      <c r="AA33" s="1507"/>
      <c r="AB33" s="1507"/>
      <c r="AC33" s="1507"/>
      <c r="AD33" s="1507"/>
      <c r="AE33" s="1507"/>
      <c r="AF33" s="1507"/>
      <c r="AG33" s="1507"/>
      <c r="AH33" s="1507"/>
      <c r="AI33" s="1508"/>
      <c r="AJ33" s="143"/>
      <c r="AR33" s="1521"/>
      <c r="AS33" s="1522"/>
      <c r="AT33" s="1522"/>
      <c r="AU33" s="1522"/>
      <c r="AV33" s="1522"/>
      <c r="AW33" s="1522"/>
      <c r="AX33" s="1522"/>
      <c r="AY33" s="1522"/>
      <c r="AZ33" s="1522"/>
      <c r="BA33" s="1523"/>
    </row>
    <row r="34" spans="1:53" s="199" customFormat="1">
      <c r="A34" s="143"/>
      <c r="B34" s="143"/>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row>
    <row r="35" spans="1:53" s="199" customFormat="1" ht="15" thickBot="1">
      <c r="A35" s="166" t="s">
        <v>369</v>
      </c>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029"/>
      <c r="AA35" s="1029"/>
      <c r="AB35" s="1029"/>
      <c r="AC35" s="1029"/>
      <c r="AD35" s="1029"/>
      <c r="AE35" s="1029"/>
      <c r="AF35" s="1029"/>
      <c r="AG35" s="1029"/>
      <c r="AH35" s="1029"/>
      <c r="AI35" s="1029"/>
      <c r="AJ35" s="143"/>
    </row>
    <row r="36" spans="1:53" s="199" customFormat="1" ht="13.5" customHeight="1">
      <c r="A36" s="724" t="s">
        <v>59</v>
      </c>
      <c r="B36" s="634"/>
      <c r="C36" s="634"/>
      <c r="D36" s="634"/>
      <c r="E36" s="634"/>
      <c r="F36" s="634"/>
      <c r="G36" s="635"/>
      <c r="H36" s="676" t="s">
        <v>237</v>
      </c>
      <c r="I36" s="634"/>
      <c r="J36" s="634"/>
      <c r="K36" s="634"/>
      <c r="L36" s="634"/>
      <c r="M36" s="635"/>
      <c r="N36" s="676" t="s">
        <v>239</v>
      </c>
      <c r="O36" s="634"/>
      <c r="P36" s="634"/>
      <c r="Q36" s="634"/>
      <c r="R36" s="634"/>
      <c r="S36" s="635"/>
      <c r="T36" s="676" t="s">
        <v>240</v>
      </c>
      <c r="U36" s="634"/>
      <c r="V36" s="634"/>
      <c r="W36" s="634"/>
      <c r="X36" s="634"/>
      <c r="Y36" s="677"/>
      <c r="Z36" s="724" t="s">
        <v>241</v>
      </c>
      <c r="AA36" s="634"/>
      <c r="AB36" s="634"/>
      <c r="AC36" s="634"/>
      <c r="AD36" s="634"/>
      <c r="AE36" s="634"/>
      <c r="AF36" s="634"/>
      <c r="AG36" s="634"/>
      <c r="AH36" s="634"/>
      <c r="AI36" s="677"/>
      <c r="AJ36" s="143"/>
      <c r="AL36" s="201"/>
      <c r="AR36" s="1025" t="s">
        <v>287</v>
      </c>
      <c r="AS36" s="1514"/>
      <c r="AT36" s="1514"/>
      <c r="AU36" s="1514"/>
      <c r="AV36" s="1514"/>
      <c r="AW36" s="1514"/>
      <c r="AX36" s="1514"/>
      <c r="AY36" s="1514"/>
      <c r="AZ36" s="1514"/>
      <c r="BA36" s="1515"/>
    </row>
    <row r="37" spans="1:53" s="199" customFormat="1" ht="14.25" customHeight="1" thickBot="1">
      <c r="A37" s="725"/>
      <c r="B37" s="679"/>
      <c r="C37" s="679"/>
      <c r="D37" s="679"/>
      <c r="E37" s="679"/>
      <c r="F37" s="679"/>
      <c r="G37" s="680"/>
      <c r="H37" s="678" t="s">
        <v>244</v>
      </c>
      <c r="I37" s="679"/>
      <c r="J37" s="679"/>
      <c r="K37" s="679"/>
      <c r="L37" s="679"/>
      <c r="M37" s="680"/>
      <c r="N37" s="678" t="s">
        <v>244</v>
      </c>
      <c r="O37" s="679"/>
      <c r="P37" s="679"/>
      <c r="Q37" s="679"/>
      <c r="R37" s="679"/>
      <c r="S37" s="680"/>
      <c r="T37" s="679" t="s">
        <v>244</v>
      </c>
      <c r="U37" s="679"/>
      <c r="V37" s="679"/>
      <c r="W37" s="679"/>
      <c r="X37" s="679"/>
      <c r="Y37" s="681"/>
      <c r="Z37" s="725"/>
      <c r="AA37" s="679"/>
      <c r="AB37" s="679"/>
      <c r="AC37" s="679"/>
      <c r="AD37" s="679"/>
      <c r="AE37" s="679"/>
      <c r="AF37" s="679"/>
      <c r="AG37" s="679"/>
      <c r="AH37" s="679"/>
      <c r="AI37" s="681"/>
      <c r="AJ37" s="143"/>
      <c r="AR37" s="1026"/>
      <c r="AS37" s="1516"/>
      <c r="AT37" s="1516"/>
      <c r="AU37" s="1516"/>
      <c r="AV37" s="1516"/>
      <c r="AW37" s="1516"/>
      <c r="AX37" s="1516"/>
      <c r="AY37" s="1516"/>
      <c r="AZ37" s="1516"/>
      <c r="BA37" s="1517"/>
    </row>
    <row r="38" spans="1:53" s="199" customFormat="1" ht="21.75" customHeight="1" thickTop="1" thickBot="1">
      <c r="A38" s="1468"/>
      <c r="B38" s="1469"/>
      <c r="C38" s="1469"/>
      <c r="D38" s="1469"/>
      <c r="E38" s="1469"/>
      <c r="F38" s="1469"/>
      <c r="G38" s="1470"/>
      <c r="H38" s="522"/>
      <c r="I38" s="523"/>
      <c r="J38" s="523"/>
      <c r="K38" s="523"/>
      <c r="L38" s="523"/>
      <c r="M38" s="524"/>
      <c r="N38" s="522"/>
      <c r="O38" s="523"/>
      <c r="P38" s="523"/>
      <c r="Q38" s="523"/>
      <c r="R38" s="523"/>
      <c r="S38" s="524"/>
      <c r="T38" s="531"/>
      <c r="U38" s="531"/>
      <c r="V38" s="531"/>
      <c r="W38" s="531"/>
      <c r="X38" s="531"/>
      <c r="Y38" s="532"/>
      <c r="Z38" s="1458" t="s">
        <v>251</v>
      </c>
      <c r="AA38" s="1459"/>
      <c r="AB38" s="1459"/>
      <c r="AC38" s="1459"/>
      <c r="AD38" s="1462" t="str">
        <f>IF(A38="","",IF(AND(H38&lt;&gt;"",'内訳書 (変更）'!O2=""),VLOOKUP(判定表!V26,料金!$E$1:$W$59,17,FALSE)*判定表!V25,IF(AND(N38&lt;&gt;"",'内訳書 (変更）'!O2=""),VLOOKUP(判定表!W26,料金!$E$1:$W$59,18,FALSE)*判定表!W25,IF(AND(T38&lt;&gt;"",'内訳書 (変更）'!O2=""),VLOOKUP(判定表!X26,料金!$E$1:$W$59,19,FALSE)*判定表!X25,IF(AND(H38&lt;&gt;"",'内訳書 (変更）'!O2&lt;&gt;""),VLOOKUP('判定表（変更）'!V26,料金!$E$1:$W$59,17,FALSE)*'判定表（変更）'!V25,IF(AND(N38&lt;&gt;"",'内訳書 (変更）'!O2&lt;&gt;""),VLOOKUP('判定表（変更）'!W26,料金!$E$1:$W$59,18,FALSE)*'判定表（変更）'!W25,IF(AND(T38&lt;&gt;"",'内訳書 (変更）'!O2&lt;&gt;""),VLOOKUP('判定表（変更）'!X26,料金!$E$1:$W$59,19,FALSE)*'判定表（変更）'!X25,"")))))))</f>
        <v/>
      </c>
      <c r="AE38" s="1463"/>
      <c r="AF38" s="1463"/>
      <c r="AG38" s="1463"/>
      <c r="AH38" s="1463"/>
      <c r="AI38" s="1464"/>
      <c r="AJ38" s="143"/>
      <c r="AR38" s="1524" t="s">
        <v>251</v>
      </c>
      <c r="AS38" s="1525"/>
      <c r="AT38" s="1525"/>
      <c r="AU38" s="1525"/>
      <c r="AV38" s="1526" t="str">
        <f>IF(AND(A38="",'判定表（変更）'!J2=""),"",IF(AND(H38&lt;&gt;"",'判定表（変更）'!J2=""),VLOOKUP(判定表!V31,料金!$E$1:$W$59,17,FALSE)*判定表!V30,IF(AND(N38&lt;&gt;"",'判定表（変更）'!J2=""),VLOOKUP(判定表!W31,料金!$E$1:$W$59,18,FALSE)*判定表!W30,IF(AND(T38&lt;&gt;"",'判定表（変更）'!J2=""),VLOOKUP(判定表!X31,料金!$E$1:$W$59,19,FALSE)*判定表!X30,IF(AND(H38&lt;&gt;"",'判定表（変更）'!J2&lt;&gt;""),VLOOKUP('判定表（変更）'!V31,料金!$E$1:$W$59,17,FALSE)*'判定表（変更）'!V30,IF(AND(N38&lt;&gt;"",'判定表（変更）'!J2&lt;&gt;""),VLOOKUP('判定表（変更）'!W31,料金!$E$1:$W$59,18,FALSE)*'判定表（変更）'!W30,IF(AND(T38&lt;&gt;"",'判定表（変更）'!J2&lt;&gt;""),VLOOKUP('判定表（変更）'!X31,料金!$E$1:$W$59,19,FALSE)*'判定表（変更）'!X30,"")))))))</f>
        <v/>
      </c>
      <c r="AW38" s="1519"/>
      <c r="AX38" s="1519"/>
      <c r="AY38" s="1519"/>
      <c r="AZ38" s="1519"/>
      <c r="BA38" s="1520"/>
    </row>
    <row r="39" spans="1:53" s="199" customFormat="1" ht="21.75" customHeight="1" thickBot="1">
      <c r="A39" s="1471"/>
      <c r="B39" s="1472"/>
      <c r="C39" s="1472"/>
      <c r="D39" s="1472"/>
      <c r="E39" s="1472"/>
      <c r="F39" s="1472"/>
      <c r="G39" s="1473"/>
      <c r="H39" s="1078"/>
      <c r="I39" s="1079"/>
      <c r="J39" s="1080" t="s">
        <v>6</v>
      </c>
      <c r="K39" s="1080"/>
      <c r="L39" s="1080"/>
      <c r="M39" s="1081"/>
      <c r="N39" s="1078"/>
      <c r="O39" s="1079"/>
      <c r="P39" s="1080" t="s">
        <v>6</v>
      </c>
      <c r="Q39" s="1080"/>
      <c r="R39" s="1080"/>
      <c r="S39" s="1081"/>
      <c r="T39" s="594"/>
      <c r="U39" s="595"/>
      <c r="V39" s="1090" t="s">
        <v>6</v>
      </c>
      <c r="W39" s="1090"/>
      <c r="X39" s="1090"/>
      <c r="Y39" s="1091"/>
      <c r="Z39" s="1460" t="s">
        <v>250</v>
      </c>
      <c r="AA39" s="1461"/>
      <c r="AB39" s="1461"/>
      <c r="AC39" s="1461"/>
      <c r="AD39" s="1465" t="str">
        <f>IF(COUNTIF(AL39:AN39,FALSE)=3,"",IF(AND(AL39=TRUE,'内訳書 (変更）'!O2=""),VLOOKUP(判定表!V36,料金!$E$1:$W$59,17,FALSE),IF(AND(AM39=TRUE,'内訳書 (変更）'!O2=""),VLOOKUP(判定表!W36,料金!$E$1:$W$59,18,FALSE),IF(AND(AN39=TRUE,'内訳書 (変更）'!O2=""),VLOOKUP(判定表!X36,料金!$E$1:$W$59,19,FALSE),IF(AND(AL39=TRUE,'内訳書 (変更）'!O2&lt;&gt;""),VLOOKUP('判定表（変更）'!V36,料金!$E$1:$W$59,17,FALSE),IF(AND(AM39=TRUE,'内訳書 (変更）'!O2&lt;&gt;""),VLOOKUP('判定表（変更）'!W36,料金!$E$1:$W$59,18,FALSE),IF(AND(AN39=TRUE,'内訳書 (変更）'!O2&lt;&gt;""),VLOOKUP('判定表（変更）'!X36,料金!$E$1:$W$59,19,FALSE),"")))))))</f>
        <v/>
      </c>
      <c r="AE39" s="1466"/>
      <c r="AF39" s="1466"/>
      <c r="AG39" s="1466"/>
      <c r="AH39" s="1466"/>
      <c r="AI39" s="1467"/>
      <c r="AJ39" s="143"/>
      <c r="AL39" s="200" t="b">
        <v>0</v>
      </c>
      <c r="AM39" s="200" t="b">
        <v>0</v>
      </c>
      <c r="AN39" s="200" t="b">
        <v>0</v>
      </c>
      <c r="AR39" s="1509" t="s">
        <v>6</v>
      </c>
      <c r="AS39" s="1510"/>
      <c r="AT39" s="1510"/>
      <c r="AU39" s="1510"/>
      <c r="AV39" s="1511" t="str">
        <f>IF(AL39=FALSE,"",IF(AND(AL39=TRUE,'内訳書 (変更）'!O2=""),VLOOKUP(判定表!V41,料金!$E$1:$W$59,17,FALSE),IF(AND(AM39=TRUE,'内訳書 (変更）'!O2=""),VLOOKUP(判定表!W41,料金!$E$1:$W$59,18,FALSE),IF(AND(AN39=TRUE,'内訳書 (変更）'!O2=""),VLOOKUP(判定表!X41,料金!$E$1:$W$59,19,FALSE),IF(AND(AL39=TRUE,'内訳書 (変更）'!O2&lt;&gt;""),VLOOKUP('判定表（変更）'!V41,料金!$E$1:$W$59,17,FALSE),IF(AND(AM39=TRUE,'内訳書 (変更）'!O2&lt;&gt;""),VLOOKUP('判定表（変更）'!W41,料金!$E$1:$W$59,18,FALSE),IF(AND(AN39=TRUE,'内訳書 (変更）'!O2&lt;&gt;""),VLOOKUP('判定表（変更）'!X41,料金!$E$1:$W$59,19,FALSE),"")))))))</f>
        <v/>
      </c>
      <c r="AW39" s="1512"/>
      <c r="AX39" s="1512"/>
      <c r="AY39" s="1512"/>
      <c r="AZ39" s="1512"/>
      <c r="BA39" s="1513"/>
    </row>
    <row r="40" spans="1:53">
      <c r="A40" s="179"/>
      <c r="B40" s="179"/>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row>
    <row r="41" spans="1:53">
      <c r="A41" s="179"/>
      <c r="B41" s="179"/>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row>
    <row r="42" spans="1:53">
      <c r="A42" s="179"/>
      <c r="B42" s="179"/>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row>
    <row r="43" spans="1:53">
      <c r="A43" s="179"/>
      <c r="B43" s="179"/>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row>
    <row r="44" spans="1:53">
      <c r="A44" s="179"/>
      <c r="B44" s="179"/>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row>
    <row r="45" spans="1:53">
      <c r="A45" s="179"/>
      <c r="B45" s="179"/>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row>
    <row r="46" spans="1:53">
      <c r="A46" s="179"/>
      <c r="B46" s="179"/>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row>
    <row r="47" spans="1:53">
      <c r="A47" s="179"/>
      <c r="B47" s="179"/>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row>
    <row r="83" spans="38:38">
      <c r="AL83" s="204" t="b">
        <v>0</v>
      </c>
    </row>
  </sheetData>
  <sheetProtection algorithmName="SHA-512" hashValue="6IVjhA6r3bFcG8QsgNQVFd4GRejnzeXmF40Szbto57hZq97qyDxViqCBG46zlBC40CMzRwBfDkRHo+GWUP3eGw==" saltValue="kcWCwnkApbzRcrgzhrf5TQ==" spinCount="100000" sheet="1" objects="1" scenarios="1"/>
  <mergeCells count="73">
    <mergeCell ref="AR39:AU39"/>
    <mergeCell ref="AV39:BA39"/>
    <mergeCell ref="AR30:BA31"/>
    <mergeCell ref="AR32:BA33"/>
    <mergeCell ref="AR36:BA37"/>
    <mergeCell ref="AR38:AU38"/>
    <mergeCell ref="AV38:BA38"/>
    <mergeCell ref="A36:G37"/>
    <mergeCell ref="A12:AI12"/>
    <mergeCell ref="Z32:AI33"/>
    <mergeCell ref="A32:G33"/>
    <mergeCell ref="H32:M33"/>
    <mergeCell ref="N32:S33"/>
    <mergeCell ref="T32:Y33"/>
    <mergeCell ref="Z29:AI29"/>
    <mergeCell ref="A30:G31"/>
    <mergeCell ref="H30:M30"/>
    <mergeCell ref="N30:S30"/>
    <mergeCell ref="T30:Y30"/>
    <mergeCell ref="H31:M31"/>
    <mergeCell ref="N31:S31"/>
    <mergeCell ref="T31:Y31"/>
    <mergeCell ref="Z30:AI31"/>
    <mergeCell ref="A23:D24"/>
    <mergeCell ref="E23:G24"/>
    <mergeCell ref="H23:S24"/>
    <mergeCell ref="T23:V24"/>
    <mergeCell ref="W23:AI24"/>
    <mergeCell ref="A25:D27"/>
    <mergeCell ref="E25:G26"/>
    <mergeCell ref="H25:S26"/>
    <mergeCell ref="T25:V26"/>
    <mergeCell ref="W25:AI26"/>
    <mergeCell ref="E27:G27"/>
    <mergeCell ref="H27:S27"/>
    <mergeCell ref="T27:V27"/>
    <mergeCell ref="W27:AI27"/>
    <mergeCell ref="A6:AI6"/>
    <mergeCell ref="A19:D20"/>
    <mergeCell ref="E19:AI20"/>
    <mergeCell ref="A21:D22"/>
    <mergeCell ref="F21:AI21"/>
    <mergeCell ref="E22:AI22"/>
    <mergeCell ref="A11:AI11"/>
    <mergeCell ref="A15:AI15"/>
    <mergeCell ref="AA1:AC1"/>
    <mergeCell ref="AD1:AF1"/>
    <mergeCell ref="AG1:AI1"/>
    <mergeCell ref="AA2:AC4"/>
    <mergeCell ref="AD2:AF4"/>
    <mergeCell ref="AG2:AI4"/>
    <mergeCell ref="Z35:AI35"/>
    <mergeCell ref="H36:M36"/>
    <mergeCell ref="N36:S36"/>
    <mergeCell ref="T36:Y36"/>
    <mergeCell ref="Z36:AI37"/>
    <mergeCell ref="H37:M37"/>
    <mergeCell ref="N37:S37"/>
    <mergeCell ref="T37:Y37"/>
    <mergeCell ref="Z38:AC38"/>
    <mergeCell ref="Z39:AC39"/>
    <mergeCell ref="AD38:AI38"/>
    <mergeCell ref="AD39:AI39"/>
    <mergeCell ref="A38:G39"/>
    <mergeCell ref="H38:M38"/>
    <mergeCell ref="N38:S38"/>
    <mergeCell ref="T38:Y38"/>
    <mergeCell ref="H39:I39"/>
    <mergeCell ref="J39:M39"/>
    <mergeCell ref="N39:O39"/>
    <mergeCell ref="P39:S39"/>
    <mergeCell ref="T39:U39"/>
    <mergeCell ref="V39:Y39"/>
  </mergeCells>
  <phoneticPr fontId="4"/>
  <dataValidations count="2">
    <dataValidation type="list" allowBlank="1" showInputMessage="1" showErrorMessage="1" sqref="H32:Y33" xr:uid="{00000000-0002-0000-0C00-000000000000}">
      <formula1>"準備,リハーサル,リハーサル/本番,準備/本番,本番,本番/準備,本番/撤収,撤収"</formula1>
    </dataValidation>
    <dataValidation type="list" allowBlank="1" showInputMessage="1" showErrorMessage="1" sqref="H38:Y38" xr:uid="{00000000-0002-0000-0C00-000001000000}">
      <formula1>"会議室１,会議室２,会議室３,会議室１・２,会議室１・３,会議室２・３,会議室１・２・３"</formula1>
    </dataValidation>
  </dataValidations>
  <pageMargins left="0.59055118110236227" right="0.39370078740157483" top="0.74803149606299213" bottom="0.74803149606299213" header="0.31496062992125984" footer="0.31496062992125984"/>
  <pageSetup paperSize="9" scale="98" orientation="portrait" r:id="rId1"/>
  <colBreaks count="1" manualBreakCount="1">
    <brk id="36"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16394" r:id="rId4" name="Check Box 10">
              <controlPr defaultSize="0" autoFill="0" autoLine="0" autoPict="0" altText="">
                <anchor moveWithCells="1">
                  <from>
                    <xdr:col>8</xdr:col>
                    <xdr:colOff>0</xdr:colOff>
                    <xdr:row>38</xdr:row>
                    <xdr:rowOff>19050</xdr:rowOff>
                  </from>
                  <to>
                    <xdr:col>9</xdr:col>
                    <xdr:colOff>104775</xdr:colOff>
                    <xdr:row>38</xdr:row>
                    <xdr:rowOff>266700</xdr:rowOff>
                  </to>
                </anchor>
              </controlPr>
            </control>
          </mc:Choice>
        </mc:AlternateContent>
        <mc:AlternateContent xmlns:mc="http://schemas.openxmlformats.org/markup-compatibility/2006">
          <mc:Choice Requires="x14">
            <control shapeId="16395" r:id="rId5" name="Check Box 11">
              <controlPr defaultSize="0" autoFill="0" autoLine="0" autoPict="0" altText="">
                <anchor moveWithCells="1">
                  <from>
                    <xdr:col>13</xdr:col>
                    <xdr:colOff>190500</xdr:colOff>
                    <xdr:row>38</xdr:row>
                    <xdr:rowOff>19050</xdr:rowOff>
                  </from>
                  <to>
                    <xdr:col>15</xdr:col>
                    <xdr:colOff>95250</xdr:colOff>
                    <xdr:row>38</xdr:row>
                    <xdr:rowOff>266700</xdr:rowOff>
                  </to>
                </anchor>
              </controlPr>
            </control>
          </mc:Choice>
        </mc:AlternateContent>
        <mc:AlternateContent xmlns:mc="http://schemas.openxmlformats.org/markup-compatibility/2006">
          <mc:Choice Requires="x14">
            <control shapeId="16396" r:id="rId6" name="Check Box 12">
              <controlPr defaultSize="0" autoFill="0" autoLine="0" autoPict="0" altText="">
                <anchor moveWithCells="1">
                  <from>
                    <xdr:col>20</xdr:col>
                    <xdr:colOff>0</xdr:colOff>
                    <xdr:row>38</xdr:row>
                    <xdr:rowOff>28575</xdr:rowOff>
                  </from>
                  <to>
                    <xdr:col>21</xdr:col>
                    <xdr:colOff>104775</xdr:colOff>
                    <xdr:row>39</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51"/>
  <sheetViews>
    <sheetView view="pageBreakPreview" zoomScaleNormal="100" zoomScaleSheetLayoutView="100" workbookViewId="0">
      <selection activeCell="B11" sqref="B11:AK11"/>
    </sheetView>
  </sheetViews>
  <sheetFormatPr defaultColWidth="2.625" defaultRowHeight="12"/>
  <cols>
    <col min="1" max="1" width="0.75" style="204" customWidth="1"/>
    <col min="2" max="36" width="2.625" style="204"/>
    <col min="37" max="37" width="1.375" style="204" customWidth="1"/>
    <col min="38" max="16384" width="2.625" style="204"/>
  </cols>
  <sheetData>
    <row r="1" spans="1:37" s="199" customFormat="1" ht="26.25" customHeight="1">
      <c r="A1" s="143"/>
      <c r="B1" s="143" t="s">
        <v>344</v>
      </c>
      <c r="C1" s="143"/>
      <c r="D1" s="143"/>
      <c r="E1" s="143"/>
      <c r="F1" s="143"/>
      <c r="G1" s="143"/>
      <c r="H1" s="143"/>
      <c r="I1" s="143"/>
      <c r="J1" s="143"/>
      <c r="K1" s="143"/>
      <c r="L1" s="143"/>
      <c r="M1" s="195"/>
      <c r="N1" s="195"/>
      <c r="O1" s="195"/>
      <c r="P1" s="195"/>
      <c r="Q1" s="195"/>
      <c r="R1" s="195"/>
      <c r="S1" s="195"/>
      <c r="T1" s="143"/>
      <c r="U1" s="143"/>
      <c r="V1" s="143"/>
      <c r="W1" s="143"/>
      <c r="X1" s="143"/>
      <c r="Y1" s="143"/>
      <c r="Z1" s="143"/>
      <c r="AA1" s="143"/>
      <c r="AB1" s="174"/>
      <c r="AC1" s="1134" t="s">
        <v>345</v>
      </c>
      <c r="AD1" s="768"/>
      <c r="AE1" s="769"/>
      <c r="AF1" s="767" t="s">
        <v>13</v>
      </c>
      <c r="AG1" s="768"/>
      <c r="AH1" s="769"/>
      <c r="AI1" s="767" t="s">
        <v>314</v>
      </c>
      <c r="AJ1" s="768"/>
      <c r="AK1" s="769"/>
    </row>
    <row r="2" spans="1:37" s="199" customFormat="1">
      <c r="A2" s="143"/>
      <c r="B2" s="143"/>
      <c r="C2" s="143"/>
      <c r="D2" s="143"/>
      <c r="E2" s="143"/>
      <c r="F2" s="143"/>
      <c r="G2" s="143"/>
      <c r="H2" s="143"/>
      <c r="I2" s="143"/>
      <c r="J2" s="143"/>
      <c r="K2" s="143"/>
      <c r="L2" s="143"/>
      <c r="M2" s="195"/>
      <c r="N2" s="195"/>
      <c r="O2" s="195"/>
      <c r="P2" s="195"/>
      <c r="Q2" s="195"/>
      <c r="R2" s="195"/>
      <c r="S2" s="195"/>
      <c r="T2" s="143"/>
      <c r="U2" s="143"/>
      <c r="V2" s="196"/>
      <c r="W2" s="196"/>
      <c r="X2" s="196"/>
      <c r="Y2" s="143"/>
      <c r="Z2" s="143"/>
      <c r="AA2" s="143"/>
      <c r="AB2" s="174"/>
      <c r="AC2" s="770"/>
      <c r="AD2" s="771"/>
      <c r="AE2" s="772"/>
      <c r="AF2" s="779"/>
      <c r="AG2" s="780"/>
      <c r="AH2" s="781"/>
      <c r="AI2" s="563" t="str">
        <f>IF(申込書!AH2&lt;&gt;"",申込書!AH2,"")</f>
        <v/>
      </c>
      <c r="AJ2" s="564"/>
      <c r="AK2" s="565"/>
    </row>
    <row r="3" spans="1:37" s="199" customFormat="1">
      <c r="A3" s="143"/>
      <c r="B3" s="143"/>
      <c r="C3" s="143"/>
      <c r="D3" s="143"/>
      <c r="E3" s="143"/>
      <c r="F3" s="143"/>
      <c r="G3" s="143"/>
      <c r="H3" s="143"/>
      <c r="I3" s="143"/>
      <c r="J3" s="143"/>
      <c r="K3" s="143"/>
      <c r="L3" s="143"/>
      <c r="M3" s="195"/>
      <c r="N3" s="195"/>
      <c r="O3" s="195"/>
      <c r="P3" s="195"/>
      <c r="Q3" s="195"/>
      <c r="R3" s="195"/>
      <c r="S3" s="195"/>
      <c r="T3" s="143"/>
      <c r="U3" s="143"/>
      <c r="V3" s="196"/>
      <c r="W3" s="196"/>
      <c r="X3" s="196"/>
      <c r="Y3" s="143"/>
      <c r="Z3" s="143"/>
      <c r="AA3" s="143"/>
      <c r="AB3" s="174"/>
      <c r="AC3" s="773"/>
      <c r="AD3" s="774"/>
      <c r="AE3" s="775"/>
      <c r="AF3" s="782"/>
      <c r="AG3" s="783"/>
      <c r="AH3" s="784"/>
      <c r="AI3" s="1479"/>
      <c r="AJ3" s="1029"/>
      <c r="AK3" s="1030"/>
    </row>
    <row r="4" spans="1:37" s="199" customFormat="1">
      <c r="A4" s="143"/>
      <c r="B4" s="143"/>
      <c r="C4" s="143"/>
      <c r="D4" s="143"/>
      <c r="E4" s="143"/>
      <c r="F4" s="144"/>
      <c r="G4" s="143"/>
      <c r="H4" s="143"/>
      <c r="I4" s="143"/>
      <c r="J4" s="143"/>
      <c r="K4" s="143"/>
      <c r="L4" s="143"/>
      <c r="M4" s="143"/>
      <c r="N4" s="143"/>
      <c r="O4" s="143"/>
      <c r="P4" s="143"/>
      <c r="Q4" s="143"/>
      <c r="R4" s="143"/>
      <c r="S4" s="143"/>
      <c r="T4" s="143"/>
      <c r="U4" s="143"/>
      <c r="V4" s="196"/>
      <c r="W4" s="196"/>
      <c r="X4" s="196"/>
      <c r="Y4" s="143"/>
      <c r="Z4" s="143"/>
      <c r="AA4" s="143"/>
      <c r="AB4" s="174"/>
      <c r="AC4" s="776"/>
      <c r="AD4" s="777"/>
      <c r="AE4" s="778"/>
      <c r="AF4" s="785"/>
      <c r="AG4" s="786"/>
      <c r="AH4" s="787"/>
      <c r="AI4" s="824"/>
      <c r="AJ4" s="687"/>
      <c r="AK4" s="688"/>
    </row>
    <row r="5" spans="1:37" s="199" customFormat="1">
      <c r="A5" s="143"/>
      <c r="B5" s="143"/>
      <c r="C5" s="143"/>
      <c r="D5" s="143"/>
      <c r="E5" s="143"/>
      <c r="F5" s="144"/>
      <c r="G5" s="143"/>
      <c r="H5" s="143"/>
      <c r="I5" s="143"/>
      <c r="J5" s="143"/>
      <c r="K5" s="143"/>
      <c r="L5" s="143"/>
      <c r="M5" s="143"/>
      <c r="N5" s="143"/>
      <c r="O5" s="143"/>
      <c r="P5" s="143"/>
      <c r="Q5" s="143"/>
      <c r="R5" s="143"/>
      <c r="S5" s="143"/>
      <c r="T5" s="143"/>
      <c r="U5" s="143"/>
      <c r="V5" s="196"/>
      <c r="W5" s="196"/>
      <c r="X5" s="196"/>
      <c r="Y5" s="143"/>
      <c r="Z5" s="143"/>
      <c r="AA5" s="143"/>
      <c r="AB5" s="143"/>
      <c r="AC5" s="198"/>
      <c r="AD5" s="198"/>
      <c r="AE5" s="198"/>
      <c r="AF5" s="195"/>
      <c r="AG5" s="195"/>
      <c r="AH5" s="195"/>
      <c r="AI5" s="195"/>
      <c r="AJ5" s="195"/>
      <c r="AK5" s="195"/>
    </row>
    <row r="6" spans="1:37" s="199" customFormat="1" ht="17.25">
      <c r="A6" s="143"/>
      <c r="B6" s="633" t="s">
        <v>355</v>
      </c>
      <c r="C6" s="633"/>
      <c r="D6" s="633"/>
      <c r="E6" s="633"/>
      <c r="F6" s="633"/>
      <c r="G6" s="633"/>
      <c r="H6" s="633"/>
      <c r="I6" s="633"/>
      <c r="J6" s="633"/>
      <c r="K6" s="633"/>
      <c r="L6" s="633"/>
      <c r="M6" s="633"/>
      <c r="N6" s="633"/>
      <c r="O6" s="633"/>
      <c r="P6" s="633"/>
      <c r="Q6" s="633"/>
      <c r="R6" s="633"/>
      <c r="S6" s="633"/>
      <c r="T6" s="633"/>
      <c r="U6" s="633"/>
      <c r="V6" s="633"/>
      <c r="W6" s="633"/>
      <c r="X6" s="633"/>
      <c r="Y6" s="633"/>
      <c r="Z6" s="633"/>
      <c r="AA6" s="633"/>
      <c r="AB6" s="633"/>
      <c r="AC6" s="633"/>
      <c r="AD6" s="633"/>
      <c r="AE6" s="633"/>
      <c r="AF6" s="633"/>
      <c r="AG6" s="633"/>
      <c r="AH6" s="633"/>
      <c r="AI6" s="633"/>
      <c r="AJ6" s="633"/>
      <c r="AK6" s="143"/>
    </row>
    <row r="7" spans="1:37" s="199" customFormat="1">
      <c r="A7" s="143"/>
      <c r="B7" s="143"/>
      <c r="C7" s="143"/>
      <c r="D7" s="143"/>
      <c r="E7" s="143"/>
      <c r="F7" s="144"/>
      <c r="G7" s="143"/>
      <c r="H7" s="143"/>
      <c r="I7" s="143"/>
      <c r="J7" s="143"/>
      <c r="K7" s="143"/>
      <c r="L7" s="143"/>
      <c r="M7" s="195"/>
      <c r="N7" s="195"/>
      <c r="O7" s="195"/>
      <c r="P7" s="195"/>
      <c r="Q7" s="195"/>
      <c r="R7" s="195"/>
      <c r="S7" s="195"/>
      <c r="T7" s="143"/>
      <c r="U7" s="143"/>
      <c r="V7" s="143"/>
      <c r="W7" s="143"/>
      <c r="X7" s="143"/>
      <c r="Y7" s="143"/>
      <c r="Z7" s="143"/>
      <c r="AA7" s="143"/>
      <c r="AB7" s="143"/>
      <c r="AC7" s="143"/>
      <c r="AD7" s="143"/>
      <c r="AE7" s="143"/>
      <c r="AF7" s="143"/>
      <c r="AG7" s="143"/>
      <c r="AH7" s="143"/>
      <c r="AI7" s="143"/>
      <c r="AJ7" s="143"/>
      <c r="AK7" s="143"/>
    </row>
    <row r="8" spans="1:37" s="199" customFormat="1" ht="18.75" customHeight="1">
      <c r="A8" s="143"/>
      <c r="B8" s="143"/>
      <c r="C8" s="143"/>
      <c r="D8" s="143"/>
      <c r="E8" s="143"/>
      <c r="F8" s="144"/>
      <c r="G8" s="143"/>
      <c r="H8" s="143"/>
      <c r="I8" s="143"/>
      <c r="J8" s="143"/>
      <c r="K8" s="143"/>
      <c r="L8" s="143"/>
      <c r="M8" s="195"/>
      <c r="N8" s="195"/>
      <c r="O8" s="195"/>
      <c r="P8" s="195"/>
      <c r="Q8" s="195"/>
      <c r="R8" s="195"/>
      <c r="S8" s="195"/>
      <c r="T8" s="143"/>
      <c r="U8" s="143"/>
      <c r="V8" s="143"/>
      <c r="W8" s="143"/>
      <c r="X8" s="143"/>
      <c r="Y8" s="143"/>
      <c r="Z8" s="767" t="s">
        <v>349</v>
      </c>
      <c r="AA8" s="768"/>
      <c r="AB8" s="769"/>
      <c r="AC8" s="1545"/>
      <c r="AD8" s="1546"/>
      <c r="AE8" s="1546"/>
      <c r="AF8" s="1546"/>
      <c r="AG8" s="1546"/>
      <c r="AH8" s="1546"/>
      <c r="AI8" s="1546"/>
      <c r="AJ8" s="1547"/>
      <c r="AK8" s="143"/>
    </row>
    <row r="9" spans="1:37" s="199" customFormat="1">
      <c r="A9" s="143"/>
      <c r="B9" s="143"/>
      <c r="C9" s="143"/>
      <c r="D9" s="143"/>
      <c r="E9" s="143"/>
      <c r="F9" s="144"/>
      <c r="G9" s="143"/>
      <c r="H9" s="143"/>
      <c r="I9" s="143"/>
      <c r="J9" s="143"/>
      <c r="K9" s="143"/>
      <c r="L9" s="143"/>
      <c r="M9" s="195"/>
      <c r="N9" s="195"/>
      <c r="O9" s="195"/>
      <c r="P9" s="195"/>
      <c r="Q9" s="195"/>
      <c r="R9" s="195"/>
      <c r="S9" s="195"/>
      <c r="T9" s="143"/>
      <c r="U9" s="143"/>
      <c r="V9" s="143"/>
      <c r="W9" s="143"/>
      <c r="X9" s="143"/>
      <c r="Y9" s="143"/>
      <c r="Z9" s="143"/>
      <c r="AA9" s="143"/>
      <c r="AB9" s="143"/>
      <c r="AC9" s="143"/>
      <c r="AD9" s="143"/>
      <c r="AE9" s="143"/>
      <c r="AF9" s="143"/>
      <c r="AG9" s="143"/>
      <c r="AH9" s="143"/>
      <c r="AI9" s="143"/>
      <c r="AJ9" s="143"/>
      <c r="AK9" s="143"/>
    </row>
    <row r="10" spans="1:37" s="199" customFormat="1">
      <c r="A10" s="143"/>
      <c r="B10" s="143"/>
      <c r="C10" s="143"/>
      <c r="D10" s="143"/>
      <c r="E10" s="143"/>
      <c r="F10" s="144"/>
      <c r="G10" s="143"/>
      <c r="H10" s="143"/>
      <c r="I10" s="143"/>
      <c r="J10" s="143"/>
      <c r="K10" s="143"/>
      <c r="L10" s="143"/>
      <c r="M10" s="195"/>
      <c r="N10" s="195"/>
      <c r="O10" s="195"/>
      <c r="P10" s="195"/>
      <c r="Q10" s="195"/>
      <c r="R10" s="195"/>
      <c r="S10" s="195"/>
      <c r="T10" s="143"/>
      <c r="U10" s="143"/>
      <c r="V10" s="143"/>
      <c r="W10" s="143"/>
      <c r="X10" s="143"/>
      <c r="Y10" s="143"/>
      <c r="Z10" s="143"/>
      <c r="AA10" s="143"/>
      <c r="AB10" s="143"/>
      <c r="AC10" s="143"/>
      <c r="AD10" s="143"/>
      <c r="AE10" s="143"/>
      <c r="AF10" s="143"/>
      <c r="AG10" s="143"/>
      <c r="AH10" s="143"/>
      <c r="AI10" s="143"/>
      <c r="AJ10" s="143"/>
      <c r="AK10" s="143"/>
    </row>
    <row r="11" spans="1:37" s="199" customFormat="1">
      <c r="A11" s="143"/>
      <c r="B11" s="930" t="s">
        <v>363</v>
      </c>
      <c r="C11" s="930"/>
      <c r="D11" s="930"/>
      <c r="E11" s="930"/>
      <c r="F11" s="930"/>
      <c r="G11" s="930"/>
      <c r="H11" s="930"/>
      <c r="I11" s="930"/>
      <c r="J11" s="930"/>
      <c r="K11" s="930"/>
      <c r="L11" s="930"/>
      <c r="M11" s="930"/>
      <c r="N11" s="930"/>
      <c r="O11" s="930"/>
      <c r="P11" s="930"/>
      <c r="Q11" s="930"/>
      <c r="R11" s="930"/>
      <c r="S11" s="930"/>
      <c r="T11" s="930"/>
      <c r="U11" s="930"/>
      <c r="V11" s="930"/>
      <c r="W11" s="930"/>
      <c r="X11" s="930"/>
      <c r="Y11" s="930"/>
      <c r="Z11" s="930"/>
      <c r="AA11" s="930"/>
      <c r="AB11" s="930"/>
      <c r="AC11" s="930"/>
      <c r="AD11" s="930"/>
      <c r="AE11" s="930"/>
      <c r="AF11" s="930"/>
      <c r="AG11" s="930"/>
      <c r="AH11" s="930"/>
      <c r="AI11" s="930"/>
      <c r="AJ11" s="930"/>
      <c r="AK11" s="930"/>
    </row>
    <row r="12" spans="1:37" s="199" customFormat="1">
      <c r="A12" s="143"/>
      <c r="B12" s="349"/>
      <c r="C12" s="349"/>
      <c r="D12" s="349"/>
      <c r="E12" s="349"/>
      <c r="F12" s="349"/>
      <c r="G12" s="349"/>
      <c r="H12" s="349"/>
      <c r="I12" s="349"/>
      <c r="J12" s="349"/>
      <c r="K12" s="349"/>
      <c r="L12" s="349"/>
      <c r="M12" s="349"/>
      <c r="N12" s="349"/>
      <c r="O12" s="349"/>
      <c r="P12" s="349"/>
      <c r="Q12" s="349"/>
      <c r="R12" s="349"/>
      <c r="S12" s="349"/>
      <c r="T12" s="349"/>
      <c r="U12" s="349"/>
      <c r="V12" s="349"/>
      <c r="W12" s="349"/>
      <c r="X12" s="349"/>
      <c r="Y12" s="349"/>
      <c r="Z12" s="349"/>
      <c r="AA12" s="349"/>
      <c r="AB12" s="349"/>
      <c r="AC12" s="349"/>
      <c r="AD12" s="349"/>
      <c r="AE12" s="349"/>
      <c r="AF12" s="349"/>
      <c r="AG12" s="349"/>
      <c r="AH12" s="349"/>
      <c r="AI12" s="349"/>
      <c r="AJ12" s="349"/>
      <c r="AK12" s="349"/>
    </row>
    <row r="13" spans="1:37" s="199" customFormat="1">
      <c r="A13" s="143"/>
      <c r="B13" s="143"/>
      <c r="C13" s="143"/>
      <c r="D13" s="143"/>
      <c r="E13" s="143"/>
      <c r="F13" s="144"/>
      <c r="G13" s="143"/>
      <c r="H13" s="143"/>
      <c r="I13" s="143"/>
      <c r="J13" s="143"/>
      <c r="K13" s="143"/>
      <c r="L13" s="143"/>
      <c r="M13" s="195"/>
      <c r="N13" s="195"/>
      <c r="O13" s="195"/>
      <c r="P13" s="195"/>
      <c r="Q13" s="195"/>
      <c r="R13" s="195"/>
      <c r="S13" s="195"/>
      <c r="T13" s="143"/>
      <c r="U13" s="143"/>
      <c r="V13" s="143"/>
      <c r="W13" s="143"/>
      <c r="X13" s="143"/>
      <c r="Y13" s="143"/>
      <c r="Z13" s="143"/>
      <c r="AA13" s="143"/>
      <c r="AB13" s="143"/>
      <c r="AC13" s="143"/>
      <c r="AD13" s="143"/>
      <c r="AE13" s="143"/>
      <c r="AF13" s="143"/>
      <c r="AG13" s="143"/>
      <c r="AH13" s="143"/>
      <c r="AI13" s="143"/>
      <c r="AJ13" s="143"/>
      <c r="AK13" s="143"/>
    </row>
    <row r="14" spans="1:37" s="199" customFormat="1" ht="13.5" customHeight="1">
      <c r="A14" s="143"/>
      <c r="B14" s="930" t="s">
        <v>347</v>
      </c>
      <c r="C14" s="930"/>
      <c r="D14" s="930"/>
      <c r="E14" s="930"/>
      <c r="F14" s="930"/>
      <c r="G14" s="930"/>
      <c r="H14" s="930"/>
      <c r="I14" s="1130" t="str">
        <f>IF(OR(内訳書!L2="○",内訳書!L2="◎"),内訳書!H2,"")</f>
        <v/>
      </c>
      <c r="J14" s="1130"/>
      <c r="K14" s="1130"/>
      <c r="L14" s="1130"/>
      <c r="M14" s="321" t="str">
        <f>IF(AND(変更届!AR2=1,'内訳書 (変更）'!O2="○"),"(1)",IF(AND(変更届!AR2=1,'内訳書 (変更）'!O2="◎"),"(1)",IF(AND(変更届!AR2=2,'内訳書 (変更）'!O2="○"),"(2)",IF(AND(変更届!AR2=2,'内訳書 (変更）'!O2="◎"),"(2)",""))))</f>
        <v/>
      </c>
      <c r="N14" s="930" t="s">
        <v>348</v>
      </c>
      <c r="O14" s="930"/>
      <c r="P14" s="930"/>
      <c r="Q14" s="930"/>
      <c r="R14" s="930"/>
      <c r="S14" s="930"/>
      <c r="T14" s="930"/>
      <c r="U14" s="930"/>
      <c r="V14" s="930"/>
      <c r="W14" s="930"/>
      <c r="X14" s="930"/>
      <c r="Y14" s="930"/>
      <c r="Z14" s="930"/>
      <c r="AA14" s="930"/>
      <c r="AB14" s="930"/>
      <c r="AC14" s="930"/>
      <c r="AD14" s="930"/>
      <c r="AE14" s="930"/>
      <c r="AF14" s="930"/>
      <c r="AG14" s="930"/>
      <c r="AH14" s="930"/>
      <c r="AI14" s="930"/>
      <c r="AJ14" s="930"/>
      <c r="AK14" s="143"/>
    </row>
    <row r="15" spans="1:37" s="199" customFormat="1">
      <c r="A15" s="143"/>
      <c r="B15" s="930" t="s">
        <v>343</v>
      </c>
      <c r="C15" s="930"/>
      <c r="D15" s="930"/>
      <c r="E15" s="930"/>
      <c r="F15" s="930"/>
      <c r="G15" s="930"/>
      <c r="H15" s="930"/>
      <c r="I15" s="930"/>
      <c r="J15" s="930"/>
      <c r="K15" s="930"/>
      <c r="L15" s="930"/>
      <c r="M15" s="930"/>
      <c r="N15" s="930"/>
      <c r="O15" s="930"/>
      <c r="P15" s="930"/>
      <c r="Q15" s="930"/>
      <c r="R15" s="930"/>
      <c r="S15" s="930"/>
      <c r="T15" s="930"/>
      <c r="U15" s="930"/>
      <c r="V15" s="930"/>
      <c r="W15" s="930"/>
      <c r="X15" s="930"/>
      <c r="Y15" s="930"/>
      <c r="Z15" s="930"/>
      <c r="AA15" s="930"/>
      <c r="AB15" s="930"/>
      <c r="AC15" s="930"/>
      <c r="AD15" s="930"/>
      <c r="AE15" s="930"/>
      <c r="AF15" s="930"/>
      <c r="AG15" s="930"/>
      <c r="AH15" s="930"/>
      <c r="AI15" s="930"/>
      <c r="AJ15" s="930"/>
      <c r="AK15" s="930"/>
    </row>
    <row r="16" spans="1:37" s="199" customFormat="1">
      <c r="A16" s="143"/>
      <c r="B16" s="143"/>
      <c r="C16" s="143"/>
      <c r="D16" s="143"/>
      <c r="E16" s="143"/>
      <c r="F16" s="144"/>
      <c r="G16" s="143"/>
      <c r="H16" s="143"/>
      <c r="I16" s="143"/>
      <c r="J16" s="143"/>
      <c r="K16" s="143"/>
      <c r="L16" s="143"/>
      <c r="M16" s="195"/>
      <c r="N16" s="195"/>
      <c r="O16" s="195"/>
      <c r="P16" s="195"/>
      <c r="Q16" s="195"/>
      <c r="R16" s="195"/>
      <c r="S16" s="195"/>
      <c r="T16" s="143"/>
      <c r="U16" s="143"/>
      <c r="V16" s="143"/>
      <c r="W16" s="143"/>
      <c r="X16" s="143"/>
      <c r="Y16" s="143"/>
      <c r="Z16" s="143"/>
      <c r="AA16" s="143"/>
      <c r="AB16" s="143"/>
      <c r="AC16" s="143"/>
      <c r="AD16" s="143"/>
      <c r="AE16" s="143"/>
      <c r="AF16" s="143"/>
      <c r="AG16" s="143"/>
      <c r="AH16" s="143"/>
      <c r="AI16" s="143"/>
      <c r="AJ16" s="143"/>
      <c r="AK16" s="143"/>
    </row>
    <row r="17" spans="1:37" s="199" customFormat="1">
      <c r="A17" s="143"/>
      <c r="B17" s="1029" t="s">
        <v>67</v>
      </c>
      <c r="C17" s="1029"/>
      <c r="D17" s="1029"/>
      <c r="E17" s="1029"/>
      <c r="F17" s="1029"/>
      <c r="G17" s="1029"/>
      <c r="H17" s="1029"/>
      <c r="I17" s="1029"/>
      <c r="J17" s="1029"/>
      <c r="K17" s="1029"/>
      <c r="L17" s="1029"/>
      <c r="M17" s="1029"/>
      <c r="N17" s="1029"/>
      <c r="O17" s="1029"/>
      <c r="P17" s="1029"/>
      <c r="Q17" s="1029"/>
      <c r="R17" s="1029"/>
      <c r="S17" s="1029"/>
      <c r="T17" s="1029"/>
      <c r="U17" s="1029"/>
      <c r="V17" s="1029"/>
      <c r="W17" s="1029"/>
      <c r="X17" s="1029"/>
      <c r="Y17" s="1029"/>
      <c r="Z17" s="1029"/>
      <c r="AA17" s="1029"/>
      <c r="AB17" s="1029"/>
      <c r="AC17" s="1029"/>
      <c r="AD17" s="1029"/>
      <c r="AE17" s="1029"/>
      <c r="AF17" s="1029"/>
      <c r="AG17" s="1029"/>
      <c r="AH17" s="1029"/>
      <c r="AI17" s="1029"/>
      <c r="AJ17" s="1029"/>
      <c r="AK17" s="1029"/>
    </row>
    <row r="18" spans="1:37" s="199" customFormat="1">
      <c r="A18" s="143"/>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43"/>
    </row>
    <row r="19" spans="1:37" s="199" customFormat="1" ht="15" thickBot="1">
      <c r="A19" s="143"/>
      <c r="B19" s="166" t="s">
        <v>32</v>
      </c>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43"/>
    </row>
    <row r="20" spans="1:37" s="199" customFormat="1" ht="14.25" customHeight="1">
      <c r="A20" s="143"/>
      <c r="B20" s="724" t="str">
        <f>申込書!A16</f>
        <v>主催団体名</v>
      </c>
      <c r="C20" s="634"/>
      <c r="D20" s="634"/>
      <c r="E20" s="635"/>
      <c r="F20" s="1480" t="str">
        <f>IF(申込書!E16="","",申込書!E16)</f>
        <v/>
      </c>
      <c r="G20" s="1481"/>
      <c r="H20" s="1481"/>
      <c r="I20" s="1481"/>
      <c r="J20" s="1481"/>
      <c r="K20" s="1481"/>
      <c r="L20" s="1481"/>
      <c r="M20" s="1481"/>
      <c r="N20" s="1481"/>
      <c r="O20" s="1481"/>
      <c r="P20" s="1481"/>
      <c r="Q20" s="1481"/>
      <c r="R20" s="1481"/>
      <c r="S20" s="1481"/>
      <c r="T20" s="1481"/>
      <c r="U20" s="1481"/>
      <c r="V20" s="1481"/>
      <c r="W20" s="1481"/>
      <c r="X20" s="1481"/>
      <c r="Y20" s="1481"/>
      <c r="Z20" s="1481"/>
      <c r="AA20" s="1481"/>
      <c r="AB20" s="1481"/>
      <c r="AC20" s="1481"/>
      <c r="AD20" s="1481"/>
      <c r="AE20" s="1481"/>
      <c r="AF20" s="1481"/>
      <c r="AG20" s="1481"/>
      <c r="AH20" s="1481"/>
      <c r="AI20" s="1481"/>
      <c r="AJ20" s="1482"/>
      <c r="AK20" s="143"/>
    </row>
    <row r="21" spans="1:37" s="199" customFormat="1">
      <c r="A21" s="143"/>
      <c r="B21" s="686"/>
      <c r="C21" s="687"/>
      <c r="D21" s="687"/>
      <c r="E21" s="688"/>
      <c r="F21" s="1483"/>
      <c r="G21" s="930"/>
      <c r="H21" s="930"/>
      <c r="I21" s="930"/>
      <c r="J21" s="930"/>
      <c r="K21" s="930"/>
      <c r="L21" s="930"/>
      <c r="M21" s="930"/>
      <c r="N21" s="930"/>
      <c r="O21" s="930"/>
      <c r="P21" s="930"/>
      <c r="Q21" s="930"/>
      <c r="R21" s="930"/>
      <c r="S21" s="930"/>
      <c r="T21" s="930"/>
      <c r="U21" s="930"/>
      <c r="V21" s="930"/>
      <c r="W21" s="930"/>
      <c r="X21" s="930"/>
      <c r="Y21" s="930"/>
      <c r="Z21" s="930"/>
      <c r="AA21" s="930"/>
      <c r="AB21" s="930"/>
      <c r="AC21" s="930"/>
      <c r="AD21" s="930"/>
      <c r="AE21" s="930"/>
      <c r="AF21" s="930"/>
      <c r="AG21" s="930"/>
      <c r="AH21" s="930"/>
      <c r="AI21" s="930"/>
      <c r="AJ21" s="1484"/>
      <c r="AK21" s="143"/>
    </row>
    <row r="22" spans="1:37" s="199" customFormat="1" ht="15.75" customHeight="1">
      <c r="A22" s="143"/>
      <c r="B22" s="543" t="str">
        <f>申込書!A22</f>
        <v>所在地
または住所</v>
      </c>
      <c r="C22" s="544"/>
      <c r="D22" s="544"/>
      <c r="E22" s="545"/>
      <c r="F22" s="194" t="s">
        <v>10</v>
      </c>
      <c r="G22" s="615" t="str">
        <f>IF(申込書!F22="","",申込書!F22)</f>
        <v/>
      </c>
      <c r="H22" s="615"/>
      <c r="I22" s="615"/>
      <c r="J22" s="615"/>
      <c r="K22" s="615"/>
      <c r="L22" s="615"/>
      <c r="M22" s="615"/>
      <c r="N22" s="615"/>
      <c r="O22" s="615"/>
      <c r="P22" s="615"/>
      <c r="Q22" s="615"/>
      <c r="R22" s="615"/>
      <c r="S22" s="615"/>
      <c r="T22" s="615"/>
      <c r="U22" s="615"/>
      <c r="V22" s="615"/>
      <c r="W22" s="615"/>
      <c r="X22" s="615"/>
      <c r="Y22" s="615"/>
      <c r="Z22" s="615"/>
      <c r="AA22" s="615"/>
      <c r="AB22" s="615"/>
      <c r="AC22" s="615"/>
      <c r="AD22" s="615"/>
      <c r="AE22" s="615"/>
      <c r="AF22" s="615"/>
      <c r="AG22" s="615"/>
      <c r="AH22" s="615"/>
      <c r="AI22" s="615"/>
      <c r="AJ22" s="616"/>
      <c r="AK22" s="143"/>
    </row>
    <row r="23" spans="1:37" s="199" customFormat="1" ht="15.75" customHeight="1">
      <c r="A23" s="143"/>
      <c r="B23" s="729"/>
      <c r="C23" s="730"/>
      <c r="D23" s="730"/>
      <c r="E23" s="731"/>
      <c r="F23" s="1485" t="str">
        <f>IF(申込書!E23="","",申込書!E23)</f>
        <v/>
      </c>
      <c r="G23" s="1486"/>
      <c r="H23" s="1486"/>
      <c r="I23" s="1486"/>
      <c r="J23" s="1486"/>
      <c r="K23" s="1486"/>
      <c r="L23" s="1486"/>
      <c r="M23" s="1486"/>
      <c r="N23" s="1486"/>
      <c r="O23" s="1486"/>
      <c r="P23" s="1486"/>
      <c r="Q23" s="1486"/>
      <c r="R23" s="1486"/>
      <c r="S23" s="1486"/>
      <c r="T23" s="1486"/>
      <c r="U23" s="1486"/>
      <c r="V23" s="1486"/>
      <c r="W23" s="1486"/>
      <c r="X23" s="1486"/>
      <c r="Y23" s="1486"/>
      <c r="Z23" s="1486"/>
      <c r="AA23" s="1486"/>
      <c r="AB23" s="1486"/>
      <c r="AC23" s="1486"/>
      <c r="AD23" s="1486"/>
      <c r="AE23" s="1486"/>
      <c r="AF23" s="1486"/>
      <c r="AG23" s="1486"/>
      <c r="AH23" s="1486"/>
      <c r="AI23" s="1486"/>
      <c r="AJ23" s="1487"/>
      <c r="AK23" s="143"/>
    </row>
    <row r="24" spans="1:37" s="199" customFormat="1">
      <c r="A24" s="143"/>
      <c r="B24" s="685" t="str">
        <f>申込書!A24</f>
        <v>催事責任者</v>
      </c>
      <c r="C24" s="564"/>
      <c r="D24" s="564"/>
      <c r="E24" s="565"/>
      <c r="F24" s="563" t="s">
        <v>9</v>
      </c>
      <c r="G24" s="564"/>
      <c r="H24" s="565"/>
      <c r="I24" s="1488" t="str">
        <f>IF(申込書!H25="","",申込書!H25)</f>
        <v/>
      </c>
      <c r="J24" s="1489"/>
      <c r="K24" s="1489"/>
      <c r="L24" s="1489"/>
      <c r="M24" s="1489"/>
      <c r="N24" s="1489"/>
      <c r="O24" s="1489"/>
      <c r="P24" s="1489"/>
      <c r="Q24" s="1489"/>
      <c r="R24" s="1489"/>
      <c r="S24" s="1489"/>
      <c r="T24" s="1490"/>
      <c r="U24" s="689" t="s">
        <v>23</v>
      </c>
      <c r="V24" s="690"/>
      <c r="W24" s="691"/>
      <c r="X24" s="1488" t="str">
        <f>IF(申込書!W25="","",申込書!W25)</f>
        <v/>
      </c>
      <c r="Y24" s="1489"/>
      <c r="Z24" s="1489"/>
      <c r="AA24" s="1489"/>
      <c r="AB24" s="1489"/>
      <c r="AC24" s="1489"/>
      <c r="AD24" s="1489"/>
      <c r="AE24" s="1489"/>
      <c r="AF24" s="1489"/>
      <c r="AG24" s="1489"/>
      <c r="AH24" s="1489"/>
      <c r="AI24" s="1489"/>
      <c r="AJ24" s="1503"/>
      <c r="AK24" s="143"/>
    </row>
    <row r="25" spans="1:37" s="199" customFormat="1">
      <c r="A25" s="143"/>
      <c r="B25" s="686"/>
      <c r="C25" s="687"/>
      <c r="D25" s="687"/>
      <c r="E25" s="688"/>
      <c r="F25" s="824"/>
      <c r="G25" s="687"/>
      <c r="H25" s="688"/>
      <c r="I25" s="1491"/>
      <c r="J25" s="1492"/>
      <c r="K25" s="1492"/>
      <c r="L25" s="1492"/>
      <c r="M25" s="1492"/>
      <c r="N25" s="1492"/>
      <c r="O25" s="1492"/>
      <c r="P25" s="1492"/>
      <c r="Q25" s="1492"/>
      <c r="R25" s="1492"/>
      <c r="S25" s="1492"/>
      <c r="T25" s="1493"/>
      <c r="U25" s="587"/>
      <c r="V25" s="588"/>
      <c r="W25" s="589"/>
      <c r="X25" s="1491"/>
      <c r="Y25" s="1492"/>
      <c r="Z25" s="1492"/>
      <c r="AA25" s="1492"/>
      <c r="AB25" s="1492"/>
      <c r="AC25" s="1492"/>
      <c r="AD25" s="1492"/>
      <c r="AE25" s="1492"/>
      <c r="AF25" s="1492"/>
      <c r="AG25" s="1492"/>
      <c r="AH25" s="1492"/>
      <c r="AI25" s="1492"/>
      <c r="AJ25" s="1504"/>
      <c r="AK25" s="143"/>
    </row>
    <row r="26" spans="1:37" s="199" customFormat="1" ht="11.25" customHeight="1">
      <c r="A26" s="143"/>
      <c r="B26" s="605" t="str">
        <f>申込書!A26</f>
        <v>催事担当者</v>
      </c>
      <c r="C26" s="606"/>
      <c r="D26" s="606"/>
      <c r="E26" s="606"/>
      <c r="F26" s="563" t="s">
        <v>9</v>
      </c>
      <c r="G26" s="564"/>
      <c r="H26" s="565"/>
      <c r="I26" s="1488" t="str">
        <f>IF(申込書!H27="","",申込書!H27)</f>
        <v/>
      </c>
      <c r="J26" s="1489"/>
      <c r="K26" s="1489"/>
      <c r="L26" s="1489"/>
      <c r="M26" s="1489"/>
      <c r="N26" s="1489"/>
      <c r="O26" s="1489"/>
      <c r="P26" s="1489"/>
      <c r="Q26" s="1489"/>
      <c r="R26" s="1489"/>
      <c r="S26" s="1489"/>
      <c r="T26" s="1490"/>
      <c r="U26" s="704" t="s">
        <v>23</v>
      </c>
      <c r="V26" s="704"/>
      <c r="W26" s="704"/>
      <c r="X26" s="1488" t="str">
        <f>IF(申込書!W27="","",申込書!W27)</f>
        <v/>
      </c>
      <c r="Y26" s="1489"/>
      <c r="Z26" s="1489"/>
      <c r="AA26" s="1489"/>
      <c r="AB26" s="1489"/>
      <c r="AC26" s="1489"/>
      <c r="AD26" s="1489"/>
      <c r="AE26" s="1489"/>
      <c r="AF26" s="1489"/>
      <c r="AG26" s="1489"/>
      <c r="AH26" s="1489"/>
      <c r="AI26" s="1489"/>
      <c r="AJ26" s="1503"/>
      <c r="AK26" s="143"/>
    </row>
    <row r="27" spans="1:37" s="199" customFormat="1">
      <c r="A27" s="143"/>
      <c r="B27" s="722"/>
      <c r="C27" s="723"/>
      <c r="D27" s="723"/>
      <c r="E27" s="723"/>
      <c r="F27" s="824"/>
      <c r="G27" s="687"/>
      <c r="H27" s="688"/>
      <c r="I27" s="1491"/>
      <c r="J27" s="1492"/>
      <c r="K27" s="1492"/>
      <c r="L27" s="1492"/>
      <c r="M27" s="1492"/>
      <c r="N27" s="1492"/>
      <c r="O27" s="1492"/>
      <c r="P27" s="1492"/>
      <c r="Q27" s="1492"/>
      <c r="R27" s="1492"/>
      <c r="S27" s="1492"/>
      <c r="T27" s="1493"/>
      <c r="U27" s="705"/>
      <c r="V27" s="705"/>
      <c r="W27" s="705"/>
      <c r="X27" s="1491"/>
      <c r="Y27" s="1492"/>
      <c r="Z27" s="1492"/>
      <c r="AA27" s="1492"/>
      <c r="AB27" s="1492"/>
      <c r="AC27" s="1492"/>
      <c r="AD27" s="1492"/>
      <c r="AE27" s="1492"/>
      <c r="AF27" s="1492"/>
      <c r="AG27" s="1492"/>
      <c r="AH27" s="1492"/>
      <c r="AI27" s="1492"/>
      <c r="AJ27" s="1504"/>
      <c r="AK27" s="143"/>
    </row>
    <row r="28" spans="1:37" s="199" customFormat="1" ht="18.75" customHeight="1" thickBot="1">
      <c r="A28" s="143"/>
      <c r="B28" s="1088"/>
      <c r="C28" s="1089"/>
      <c r="D28" s="1089"/>
      <c r="E28" s="1089"/>
      <c r="F28" s="1500" t="s">
        <v>28</v>
      </c>
      <c r="G28" s="1500"/>
      <c r="H28" s="1500"/>
      <c r="I28" s="1501" t="str">
        <f>IF(申込書!H28="","",申込書!H28)</f>
        <v/>
      </c>
      <c r="J28" s="1501"/>
      <c r="K28" s="1501"/>
      <c r="L28" s="1501"/>
      <c r="M28" s="1501"/>
      <c r="N28" s="1501"/>
      <c r="O28" s="1501"/>
      <c r="P28" s="1501"/>
      <c r="Q28" s="1501"/>
      <c r="R28" s="1501"/>
      <c r="S28" s="1501"/>
      <c r="T28" s="1501"/>
      <c r="U28" s="601" t="s">
        <v>29</v>
      </c>
      <c r="V28" s="601"/>
      <c r="W28" s="601"/>
      <c r="X28" s="1501" t="str">
        <f>IF(申込書!W28="","",申込書!W28)</f>
        <v/>
      </c>
      <c r="Y28" s="1501"/>
      <c r="Z28" s="1501"/>
      <c r="AA28" s="1501"/>
      <c r="AB28" s="1501"/>
      <c r="AC28" s="1501"/>
      <c r="AD28" s="1501"/>
      <c r="AE28" s="1501"/>
      <c r="AF28" s="1501"/>
      <c r="AG28" s="1501"/>
      <c r="AH28" s="1501"/>
      <c r="AI28" s="1501"/>
      <c r="AJ28" s="1502"/>
      <c r="AK28" s="143"/>
    </row>
    <row r="29" spans="1:37" ht="33.75" customHeight="1">
      <c r="A29" s="179"/>
      <c r="B29" s="179"/>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row>
    <row r="30" spans="1:37" s="199" customFormat="1" ht="15" thickBot="1">
      <c r="A30" s="143"/>
      <c r="B30" s="166" t="s">
        <v>33</v>
      </c>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43"/>
    </row>
    <row r="31" spans="1:37" s="199" customFormat="1" ht="13.5" customHeight="1">
      <c r="A31" s="143"/>
      <c r="B31" s="931" t="str">
        <f>申込書!A33</f>
        <v>催事名</v>
      </c>
      <c r="C31" s="932"/>
      <c r="D31" s="932"/>
      <c r="E31" s="932"/>
      <c r="F31" s="933" t="str">
        <f>IF(申込書!E33="","",申込書!E33)</f>
        <v/>
      </c>
      <c r="G31" s="934"/>
      <c r="H31" s="934"/>
      <c r="I31" s="934"/>
      <c r="J31" s="934"/>
      <c r="K31" s="934"/>
      <c r="L31" s="934"/>
      <c r="M31" s="934"/>
      <c r="N31" s="934"/>
      <c r="O31" s="934"/>
      <c r="P31" s="934"/>
      <c r="Q31" s="934"/>
      <c r="R31" s="934"/>
      <c r="S31" s="934"/>
      <c r="T31" s="934"/>
      <c r="U31" s="934"/>
      <c r="V31" s="934"/>
      <c r="W31" s="934"/>
      <c r="X31" s="934"/>
      <c r="Y31" s="934"/>
      <c r="Z31" s="934"/>
      <c r="AA31" s="934"/>
      <c r="AB31" s="934"/>
      <c r="AC31" s="934"/>
      <c r="AD31" s="934"/>
      <c r="AE31" s="934"/>
      <c r="AF31" s="934"/>
      <c r="AG31" s="934"/>
      <c r="AH31" s="934"/>
      <c r="AI31" s="934"/>
      <c r="AJ31" s="935"/>
      <c r="AK31" s="143"/>
    </row>
    <row r="32" spans="1:37" s="199" customFormat="1" ht="14.25" customHeight="1">
      <c r="A32" s="143"/>
      <c r="B32" s="916"/>
      <c r="C32" s="917"/>
      <c r="D32" s="917"/>
      <c r="E32" s="917"/>
      <c r="F32" s="936"/>
      <c r="G32" s="937"/>
      <c r="H32" s="937"/>
      <c r="I32" s="937"/>
      <c r="J32" s="937"/>
      <c r="K32" s="937"/>
      <c r="L32" s="937"/>
      <c r="M32" s="937"/>
      <c r="N32" s="937"/>
      <c r="O32" s="937"/>
      <c r="P32" s="937"/>
      <c r="Q32" s="937"/>
      <c r="R32" s="937"/>
      <c r="S32" s="937"/>
      <c r="T32" s="937"/>
      <c r="U32" s="937"/>
      <c r="V32" s="937"/>
      <c r="W32" s="937"/>
      <c r="X32" s="937"/>
      <c r="Y32" s="937"/>
      <c r="Z32" s="937"/>
      <c r="AA32" s="937"/>
      <c r="AB32" s="937"/>
      <c r="AC32" s="937"/>
      <c r="AD32" s="937"/>
      <c r="AE32" s="937"/>
      <c r="AF32" s="937"/>
      <c r="AG32" s="937"/>
      <c r="AH32" s="937"/>
      <c r="AI32" s="937"/>
      <c r="AJ32" s="938"/>
      <c r="AK32" s="143"/>
    </row>
    <row r="33" spans="1:37" s="199" customFormat="1" ht="14.25" customHeight="1">
      <c r="A33" s="143"/>
      <c r="B33" s="916"/>
      <c r="C33" s="917"/>
      <c r="D33" s="917"/>
      <c r="E33" s="917"/>
      <c r="F33" s="953"/>
      <c r="G33" s="954"/>
      <c r="H33" s="954"/>
      <c r="I33" s="954"/>
      <c r="J33" s="954"/>
      <c r="K33" s="954"/>
      <c r="L33" s="954"/>
      <c r="M33" s="954"/>
      <c r="N33" s="954"/>
      <c r="O33" s="954"/>
      <c r="P33" s="954"/>
      <c r="Q33" s="954"/>
      <c r="R33" s="954"/>
      <c r="S33" s="954"/>
      <c r="T33" s="954"/>
      <c r="U33" s="954"/>
      <c r="V33" s="954"/>
      <c r="W33" s="954"/>
      <c r="X33" s="954"/>
      <c r="Y33" s="954"/>
      <c r="Z33" s="954"/>
      <c r="AA33" s="954"/>
      <c r="AB33" s="954"/>
      <c r="AC33" s="954"/>
      <c r="AD33" s="954"/>
      <c r="AE33" s="954"/>
      <c r="AF33" s="954"/>
      <c r="AG33" s="954"/>
      <c r="AH33" s="954"/>
      <c r="AI33" s="954"/>
      <c r="AJ33" s="955"/>
      <c r="AK33" s="143"/>
    </row>
    <row r="34" spans="1:37" s="199" customFormat="1" ht="13.5" customHeight="1">
      <c r="A34" s="143"/>
      <c r="B34" s="914" t="str">
        <f>申込書!A62</f>
        <v>使用年月日</v>
      </c>
      <c r="C34" s="915"/>
      <c r="D34" s="915"/>
      <c r="E34" s="915"/>
      <c r="F34" s="1536">
        <f>使用者情報!H3</f>
        <v>0</v>
      </c>
      <c r="G34" s="1537"/>
      <c r="H34" s="1537"/>
      <c r="I34" s="1537"/>
      <c r="J34" s="1537"/>
      <c r="K34" s="1537"/>
      <c r="L34" s="1537"/>
      <c r="M34" s="1537"/>
      <c r="N34" s="1537"/>
      <c r="O34" s="1537"/>
      <c r="P34" s="1537"/>
      <c r="Q34" s="1537"/>
      <c r="R34" s="915" t="str">
        <f>IF(使用者情報!H3=使用者情報!I3,"","～")</f>
        <v/>
      </c>
      <c r="S34" s="915"/>
      <c r="T34" s="915"/>
      <c r="U34" s="915"/>
      <c r="V34" s="915"/>
      <c r="W34" s="1537">
        <f>使用者情報!I3</f>
        <v>0</v>
      </c>
      <c r="X34" s="1537"/>
      <c r="Y34" s="1537"/>
      <c r="Z34" s="1537"/>
      <c r="AA34" s="1537"/>
      <c r="AB34" s="1537"/>
      <c r="AC34" s="1537"/>
      <c r="AD34" s="1537"/>
      <c r="AE34" s="1537"/>
      <c r="AF34" s="1537"/>
      <c r="AG34" s="1537"/>
      <c r="AH34" s="1537"/>
      <c r="AI34" s="1537"/>
      <c r="AJ34" s="1542"/>
      <c r="AK34" s="143"/>
    </row>
    <row r="35" spans="1:37" s="199" customFormat="1" ht="13.5" customHeight="1">
      <c r="A35" s="143"/>
      <c r="B35" s="916"/>
      <c r="C35" s="917"/>
      <c r="D35" s="917"/>
      <c r="E35" s="917"/>
      <c r="F35" s="1538"/>
      <c r="G35" s="1539"/>
      <c r="H35" s="1539"/>
      <c r="I35" s="1539"/>
      <c r="J35" s="1539"/>
      <c r="K35" s="1539"/>
      <c r="L35" s="1539"/>
      <c r="M35" s="1539"/>
      <c r="N35" s="1539"/>
      <c r="O35" s="1539"/>
      <c r="P35" s="1539"/>
      <c r="Q35" s="1539"/>
      <c r="R35" s="917"/>
      <c r="S35" s="917"/>
      <c r="T35" s="917"/>
      <c r="U35" s="917"/>
      <c r="V35" s="917"/>
      <c r="W35" s="1539"/>
      <c r="X35" s="1539"/>
      <c r="Y35" s="1539"/>
      <c r="Z35" s="1539"/>
      <c r="AA35" s="1539"/>
      <c r="AB35" s="1539"/>
      <c r="AC35" s="1539"/>
      <c r="AD35" s="1539"/>
      <c r="AE35" s="1539"/>
      <c r="AF35" s="1539"/>
      <c r="AG35" s="1539"/>
      <c r="AH35" s="1539"/>
      <c r="AI35" s="1539"/>
      <c r="AJ35" s="1543"/>
      <c r="AK35" s="143"/>
    </row>
    <row r="36" spans="1:37" s="199" customFormat="1" ht="14.25" customHeight="1" thickBot="1">
      <c r="A36" s="143"/>
      <c r="B36" s="918"/>
      <c r="C36" s="919"/>
      <c r="D36" s="919"/>
      <c r="E36" s="919"/>
      <c r="F36" s="1540"/>
      <c r="G36" s="1541"/>
      <c r="H36" s="1541"/>
      <c r="I36" s="1541"/>
      <c r="J36" s="1541"/>
      <c r="K36" s="1541"/>
      <c r="L36" s="1541"/>
      <c r="M36" s="1541"/>
      <c r="N36" s="1541"/>
      <c r="O36" s="1541"/>
      <c r="P36" s="1541"/>
      <c r="Q36" s="1541"/>
      <c r="R36" s="919"/>
      <c r="S36" s="919"/>
      <c r="T36" s="919"/>
      <c r="U36" s="919"/>
      <c r="V36" s="919"/>
      <c r="W36" s="1541"/>
      <c r="X36" s="1541"/>
      <c r="Y36" s="1541"/>
      <c r="Z36" s="1541"/>
      <c r="AA36" s="1541"/>
      <c r="AB36" s="1541"/>
      <c r="AC36" s="1541"/>
      <c r="AD36" s="1541"/>
      <c r="AE36" s="1541"/>
      <c r="AF36" s="1541"/>
      <c r="AG36" s="1541"/>
      <c r="AH36" s="1541"/>
      <c r="AI36" s="1541"/>
      <c r="AJ36" s="1544"/>
      <c r="AK36" s="143"/>
    </row>
    <row r="37" spans="1:37" s="199" customFormat="1" ht="14.25">
      <c r="A37" s="143"/>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43"/>
    </row>
    <row r="38" spans="1:37" s="199" customFormat="1" ht="14.25">
      <c r="A38" s="143"/>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43"/>
    </row>
    <row r="39" spans="1:37" s="199" customFormat="1" ht="15" thickBot="1">
      <c r="A39" s="143"/>
      <c r="B39" s="166" t="s">
        <v>346</v>
      </c>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43"/>
    </row>
    <row r="40" spans="1:37" s="199" customFormat="1" ht="14.25" customHeight="1">
      <c r="A40" s="143"/>
      <c r="B40" s="1527"/>
      <c r="C40" s="1528"/>
      <c r="D40" s="1528"/>
      <c r="E40" s="1528"/>
      <c r="F40" s="1528"/>
      <c r="G40" s="1528"/>
      <c r="H40" s="1528"/>
      <c r="I40" s="1528"/>
      <c r="J40" s="1528"/>
      <c r="K40" s="1528"/>
      <c r="L40" s="1528"/>
      <c r="M40" s="1528"/>
      <c r="N40" s="1528"/>
      <c r="O40" s="1528"/>
      <c r="P40" s="1528"/>
      <c r="Q40" s="1528"/>
      <c r="R40" s="1528"/>
      <c r="S40" s="1528"/>
      <c r="T40" s="1528"/>
      <c r="U40" s="1528"/>
      <c r="V40" s="1528"/>
      <c r="W40" s="1528"/>
      <c r="X40" s="1528"/>
      <c r="Y40" s="1528"/>
      <c r="Z40" s="1528"/>
      <c r="AA40" s="1528"/>
      <c r="AB40" s="1528"/>
      <c r="AC40" s="1528"/>
      <c r="AD40" s="1528"/>
      <c r="AE40" s="1528"/>
      <c r="AF40" s="1528"/>
      <c r="AG40" s="1528"/>
      <c r="AH40" s="1528"/>
      <c r="AI40" s="1528"/>
      <c r="AJ40" s="1529"/>
      <c r="AK40" s="143"/>
    </row>
    <row r="41" spans="1:37" s="199" customFormat="1" ht="14.25" customHeight="1">
      <c r="A41" s="143"/>
      <c r="B41" s="1530"/>
      <c r="C41" s="1531"/>
      <c r="D41" s="1531"/>
      <c r="E41" s="1531"/>
      <c r="F41" s="1531"/>
      <c r="G41" s="1531"/>
      <c r="H41" s="1531"/>
      <c r="I41" s="1531"/>
      <c r="J41" s="1531"/>
      <c r="K41" s="1531"/>
      <c r="L41" s="1531"/>
      <c r="M41" s="1531"/>
      <c r="N41" s="1531"/>
      <c r="O41" s="1531"/>
      <c r="P41" s="1531"/>
      <c r="Q41" s="1531"/>
      <c r="R41" s="1531"/>
      <c r="S41" s="1531"/>
      <c r="T41" s="1531"/>
      <c r="U41" s="1531"/>
      <c r="V41" s="1531"/>
      <c r="W41" s="1531"/>
      <c r="X41" s="1531"/>
      <c r="Y41" s="1531"/>
      <c r="Z41" s="1531"/>
      <c r="AA41" s="1531"/>
      <c r="AB41" s="1531"/>
      <c r="AC41" s="1531"/>
      <c r="AD41" s="1531"/>
      <c r="AE41" s="1531"/>
      <c r="AF41" s="1531"/>
      <c r="AG41" s="1531"/>
      <c r="AH41" s="1531"/>
      <c r="AI41" s="1531"/>
      <c r="AJ41" s="1532"/>
      <c r="AK41" s="143"/>
    </row>
    <row r="42" spans="1:37" s="199" customFormat="1" ht="14.25" customHeight="1">
      <c r="A42" s="143"/>
      <c r="B42" s="1530"/>
      <c r="C42" s="1531"/>
      <c r="D42" s="1531"/>
      <c r="E42" s="1531"/>
      <c r="F42" s="1531"/>
      <c r="G42" s="1531"/>
      <c r="H42" s="1531"/>
      <c r="I42" s="1531"/>
      <c r="J42" s="1531"/>
      <c r="K42" s="1531"/>
      <c r="L42" s="1531"/>
      <c r="M42" s="1531"/>
      <c r="N42" s="1531"/>
      <c r="O42" s="1531"/>
      <c r="P42" s="1531"/>
      <c r="Q42" s="1531"/>
      <c r="R42" s="1531"/>
      <c r="S42" s="1531"/>
      <c r="T42" s="1531"/>
      <c r="U42" s="1531"/>
      <c r="V42" s="1531"/>
      <c r="W42" s="1531"/>
      <c r="X42" s="1531"/>
      <c r="Y42" s="1531"/>
      <c r="Z42" s="1531"/>
      <c r="AA42" s="1531"/>
      <c r="AB42" s="1531"/>
      <c r="AC42" s="1531"/>
      <c r="AD42" s="1531"/>
      <c r="AE42" s="1531"/>
      <c r="AF42" s="1531"/>
      <c r="AG42" s="1531"/>
      <c r="AH42" s="1531"/>
      <c r="AI42" s="1531"/>
      <c r="AJ42" s="1532"/>
      <c r="AK42" s="143"/>
    </row>
    <row r="43" spans="1:37" s="199" customFormat="1" ht="14.25" customHeight="1">
      <c r="A43" s="143"/>
      <c r="B43" s="1530"/>
      <c r="C43" s="1531"/>
      <c r="D43" s="1531"/>
      <c r="E43" s="1531"/>
      <c r="F43" s="1531"/>
      <c r="G43" s="1531"/>
      <c r="H43" s="1531"/>
      <c r="I43" s="1531"/>
      <c r="J43" s="1531"/>
      <c r="K43" s="1531"/>
      <c r="L43" s="1531"/>
      <c r="M43" s="1531"/>
      <c r="N43" s="1531"/>
      <c r="O43" s="1531"/>
      <c r="P43" s="1531"/>
      <c r="Q43" s="1531"/>
      <c r="R43" s="1531"/>
      <c r="S43" s="1531"/>
      <c r="T43" s="1531"/>
      <c r="U43" s="1531"/>
      <c r="V43" s="1531"/>
      <c r="W43" s="1531"/>
      <c r="X43" s="1531"/>
      <c r="Y43" s="1531"/>
      <c r="Z43" s="1531"/>
      <c r="AA43" s="1531"/>
      <c r="AB43" s="1531"/>
      <c r="AC43" s="1531"/>
      <c r="AD43" s="1531"/>
      <c r="AE43" s="1531"/>
      <c r="AF43" s="1531"/>
      <c r="AG43" s="1531"/>
      <c r="AH43" s="1531"/>
      <c r="AI43" s="1531"/>
      <c r="AJ43" s="1532"/>
      <c r="AK43" s="143"/>
    </row>
    <row r="44" spans="1:37" s="199" customFormat="1" ht="14.25" customHeight="1">
      <c r="A44" s="143"/>
      <c r="B44" s="1530"/>
      <c r="C44" s="1531"/>
      <c r="D44" s="1531"/>
      <c r="E44" s="1531"/>
      <c r="F44" s="1531"/>
      <c r="G44" s="1531"/>
      <c r="H44" s="1531"/>
      <c r="I44" s="1531"/>
      <c r="J44" s="1531"/>
      <c r="K44" s="1531"/>
      <c r="L44" s="1531"/>
      <c r="M44" s="1531"/>
      <c r="N44" s="1531"/>
      <c r="O44" s="1531"/>
      <c r="P44" s="1531"/>
      <c r="Q44" s="1531"/>
      <c r="R44" s="1531"/>
      <c r="S44" s="1531"/>
      <c r="T44" s="1531"/>
      <c r="U44" s="1531"/>
      <c r="V44" s="1531"/>
      <c r="W44" s="1531"/>
      <c r="X44" s="1531"/>
      <c r="Y44" s="1531"/>
      <c r="Z44" s="1531"/>
      <c r="AA44" s="1531"/>
      <c r="AB44" s="1531"/>
      <c r="AC44" s="1531"/>
      <c r="AD44" s="1531"/>
      <c r="AE44" s="1531"/>
      <c r="AF44" s="1531"/>
      <c r="AG44" s="1531"/>
      <c r="AH44" s="1531"/>
      <c r="AI44" s="1531"/>
      <c r="AJ44" s="1532"/>
      <c r="AK44" s="143"/>
    </row>
    <row r="45" spans="1:37" s="199" customFormat="1" ht="14.25" customHeight="1">
      <c r="A45" s="143"/>
      <c r="B45" s="1530"/>
      <c r="C45" s="1531"/>
      <c r="D45" s="1531"/>
      <c r="E45" s="1531"/>
      <c r="F45" s="1531"/>
      <c r="G45" s="1531"/>
      <c r="H45" s="1531"/>
      <c r="I45" s="1531"/>
      <c r="J45" s="1531"/>
      <c r="K45" s="1531"/>
      <c r="L45" s="1531"/>
      <c r="M45" s="1531"/>
      <c r="N45" s="1531"/>
      <c r="O45" s="1531"/>
      <c r="P45" s="1531"/>
      <c r="Q45" s="1531"/>
      <c r="R45" s="1531"/>
      <c r="S45" s="1531"/>
      <c r="T45" s="1531"/>
      <c r="U45" s="1531"/>
      <c r="V45" s="1531"/>
      <c r="W45" s="1531"/>
      <c r="X45" s="1531"/>
      <c r="Y45" s="1531"/>
      <c r="Z45" s="1531"/>
      <c r="AA45" s="1531"/>
      <c r="AB45" s="1531"/>
      <c r="AC45" s="1531"/>
      <c r="AD45" s="1531"/>
      <c r="AE45" s="1531"/>
      <c r="AF45" s="1531"/>
      <c r="AG45" s="1531"/>
      <c r="AH45" s="1531"/>
      <c r="AI45" s="1531"/>
      <c r="AJ45" s="1532"/>
      <c r="AK45" s="143"/>
    </row>
    <row r="46" spans="1:37" s="199" customFormat="1" ht="14.25" customHeight="1" thickBot="1">
      <c r="A46" s="143"/>
      <c r="B46" s="1533"/>
      <c r="C46" s="1534"/>
      <c r="D46" s="1534"/>
      <c r="E46" s="1534"/>
      <c r="F46" s="1534"/>
      <c r="G46" s="1534"/>
      <c r="H46" s="1534"/>
      <c r="I46" s="1534"/>
      <c r="J46" s="1534"/>
      <c r="K46" s="1534"/>
      <c r="L46" s="1534"/>
      <c r="M46" s="1534"/>
      <c r="N46" s="1534"/>
      <c r="O46" s="1534"/>
      <c r="P46" s="1534"/>
      <c r="Q46" s="1534"/>
      <c r="R46" s="1534"/>
      <c r="S46" s="1534"/>
      <c r="T46" s="1534"/>
      <c r="U46" s="1534"/>
      <c r="V46" s="1534"/>
      <c r="W46" s="1534"/>
      <c r="X46" s="1534"/>
      <c r="Y46" s="1534"/>
      <c r="Z46" s="1534"/>
      <c r="AA46" s="1534"/>
      <c r="AB46" s="1534"/>
      <c r="AC46" s="1534"/>
      <c r="AD46" s="1534"/>
      <c r="AE46" s="1534"/>
      <c r="AF46" s="1534"/>
      <c r="AG46" s="1534"/>
      <c r="AH46" s="1534"/>
      <c r="AI46" s="1534"/>
      <c r="AJ46" s="1535"/>
      <c r="AK46" s="143"/>
    </row>
    <row r="47" spans="1:37" s="199" customFormat="1" ht="14.25">
      <c r="A47" s="143"/>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43"/>
    </row>
    <row r="48" spans="1:37" s="199" customFormat="1" ht="14.25">
      <c r="A48" s="143"/>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43"/>
    </row>
    <row r="49" spans="1:37" s="199" customFormat="1" ht="14.25">
      <c r="A49" s="143"/>
      <c r="B49" s="166"/>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43"/>
    </row>
    <row r="50" spans="1:37">
      <c r="A50" s="179"/>
      <c r="B50" s="179"/>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row>
    <row r="51" spans="1:37">
      <c r="A51" s="179"/>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row>
  </sheetData>
  <mergeCells count="41">
    <mergeCell ref="AC1:AE1"/>
    <mergeCell ref="AF1:AH1"/>
    <mergeCell ref="AI1:AK1"/>
    <mergeCell ref="AC2:AE4"/>
    <mergeCell ref="AF2:AH4"/>
    <mergeCell ref="AI2:AK4"/>
    <mergeCell ref="B6:AJ6"/>
    <mergeCell ref="B20:E21"/>
    <mergeCell ref="F20:AJ21"/>
    <mergeCell ref="B22:E23"/>
    <mergeCell ref="G22:AJ22"/>
    <mergeCell ref="F23:AJ23"/>
    <mergeCell ref="B11:AK11"/>
    <mergeCell ref="B15:AK15"/>
    <mergeCell ref="B17:AK17"/>
    <mergeCell ref="B14:H14"/>
    <mergeCell ref="I14:L14"/>
    <mergeCell ref="N14:AJ14"/>
    <mergeCell ref="AC8:AJ8"/>
    <mergeCell ref="Z8:AB8"/>
    <mergeCell ref="B24:E25"/>
    <mergeCell ref="F24:H25"/>
    <mergeCell ref="I24:T25"/>
    <mergeCell ref="U24:W25"/>
    <mergeCell ref="X24:AJ25"/>
    <mergeCell ref="B40:AJ46"/>
    <mergeCell ref="F28:H28"/>
    <mergeCell ref="I28:T28"/>
    <mergeCell ref="U28:W28"/>
    <mergeCell ref="X28:AJ28"/>
    <mergeCell ref="B26:E28"/>
    <mergeCell ref="F26:H27"/>
    <mergeCell ref="I26:T27"/>
    <mergeCell ref="U26:W27"/>
    <mergeCell ref="X26:AJ27"/>
    <mergeCell ref="B34:E36"/>
    <mergeCell ref="F31:AJ33"/>
    <mergeCell ref="R34:V36"/>
    <mergeCell ref="F34:Q36"/>
    <mergeCell ref="W34:AJ36"/>
    <mergeCell ref="B31:E33"/>
  </mergeCells>
  <phoneticPr fontId="4"/>
  <dataValidations count="1">
    <dataValidation imeMode="halfAlpha" operator="greaterThan" allowBlank="1" showInputMessage="1" showErrorMessage="1" sqref="AC8:AJ8" xr:uid="{72C9D211-55C7-472B-9FB3-6349596ED44C}"/>
  </dataValidations>
  <pageMargins left="0.59055118110236227" right="0.39370078740157483" top="0.74803149606299213" bottom="0.74803149606299213" header="0.31496062992125984" footer="0.31496062992125984"/>
  <pageSetup paperSize="9" scale="98" orientation="portrait" blackAndWhite="1"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44"/>
  <sheetViews>
    <sheetView zoomScale="90" zoomScaleNormal="90" workbookViewId="0">
      <selection activeCell="BA17" sqref="BA17"/>
    </sheetView>
  </sheetViews>
  <sheetFormatPr defaultColWidth="2.625" defaultRowHeight="12"/>
  <cols>
    <col min="1" max="1" width="0.75" style="204" customWidth="1"/>
    <col min="2" max="36" width="2.625" style="204"/>
    <col min="37" max="37" width="1.375" style="204" customWidth="1"/>
    <col min="38" max="38" width="2.625" style="204"/>
    <col min="39" max="39" width="16.875" style="204" bestFit="1" customWidth="1"/>
    <col min="40" max="40" width="6.75" style="204" bestFit="1" customWidth="1"/>
    <col min="41" max="41" width="8" style="204" bestFit="1" customWidth="1"/>
    <col min="42" max="16384" width="2.625" style="204"/>
  </cols>
  <sheetData>
    <row r="1" spans="1:42" s="199" customFormat="1" ht="12.75" thickBot="1">
      <c r="A1" s="143"/>
      <c r="B1" s="143"/>
      <c r="C1" s="143"/>
      <c r="D1" s="143"/>
      <c r="E1" s="143"/>
      <c r="F1" s="144"/>
      <c r="G1" s="143"/>
      <c r="H1" s="143"/>
      <c r="I1" s="143"/>
      <c r="J1" s="143"/>
      <c r="K1" s="143"/>
      <c r="L1" s="143"/>
      <c r="M1" s="143"/>
      <c r="N1" s="143"/>
      <c r="O1" s="143"/>
      <c r="P1" s="143"/>
      <c r="Q1" s="143"/>
      <c r="R1" s="143"/>
      <c r="S1" s="143"/>
      <c r="T1" s="143"/>
      <c r="U1" s="143"/>
      <c r="V1" s="196"/>
      <c r="W1" s="196"/>
      <c r="X1" s="196"/>
      <c r="Y1" s="143"/>
      <c r="Z1" s="143"/>
      <c r="AA1" s="143"/>
      <c r="AB1" s="143"/>
      <c r="AC1" s="198"/>
      <c r="AD1" s="198"/>
      <c r="AE1" s="198"/>
      <c r="AF1" s="195"/>
      <c r="AG1" s="195"/>
      <c r="AH1" s="195"/>
      <c r="AI1" s="195"/>
      <c r="AJ1" s="195"/>
      <c r="AK1" s="195"/>
      <c r="AO1" s="329" t="s">
        <v>313</v>
      </c>
    </row>
    <row r="2" spans="1:42" s="199" customFormat="1" ht="17.25">
      <c r="A2" s="143"/>
      <c r="B2" s="633" t="s">
        <v>350</v>
      </c>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143"/>
      <c r="AO2" s="1587"/>
      <c r="AP2" s="199" t="s">
        <v>323</v>
      </c>
    </row>
    <row r="3" spans="1:42" s="199" customFormat="1" ht="17.25">
      <c r="A3" s="143"/>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143"/>
      <c r="AO3" s="1588"/>
    </row>
    <row r="4" spans="1:42" s="199" customFormat="1">
      <c r="A4" s="143"/>
      <c r="B4" s="143"/>
      <c r="C4" s="143"/>
      <c r="D4" s="143"/>
      <c r="E4" s="143"/>
      <c r="F4" s="144"/>
      <c r="G4" s="143"/>
      <c r="H4" s="143"/>
      <c r="I4" s="143"/>
      <c r="J4" s="143"/>
      <c r="K4" s="143"/>
      <c r="L4" s="143"/>
      <c r="M4" s="195"/>
      <c r="N4" s="195"/>
      <c r="O4" s="195"/>
      <c r="P4" s="195"/>
      <c r="Q4" s="195"/>
      <c r="R4" s="195"/>
      <c r="S4" s="195"/>
      <c r="T4" s="143"/>
      <c r="U4" s="143"/>
      <c r="V4" s="143"/>
      <c r="W4" s="143"/>
      <c r="X4" s="143"/>
      <c r="Y4" s="143"/>
      <c r="Z4" s="143"/>
      <c r="AA4" s="143"/>
      <c r="AB4" s="143"/>
      <c r="AC4" s="143"/>
      <c r="AD4" s="143"/>
      <c r="AE4" s="143"/>
      <c r="AF4" s="143"/>
      <c r="AG4" s="143"/>
      <c r="AH4" s="143"/>
      <c r="AI4" s="143"/>
      <c r="AJ4" s="143"/>
      <c r="AK4" s="143"/>
      <c r="AO4" s="1588"/>
    </row>
    <row r="5" spans="1:42" s="199" customFormat="1" ht="12.75" thickBot="1">
      <c r="A5" s="143"/>
      <c r="B5" s="143"/>
      <c r="C5" s="143"/>
      <c r="D5" s="143"/>
      <c r="E5" s="143"/>
      <c r="F5" s="144"/>
      <c r="G5" s="143"/>
      <c r="H5" s="143"/>
      <c r="I5" s="143"/>
      <c r="J5" s="143"/>
      <c r="K5" s="143"/>
      <c r="L5" s="143"/>
      <c r="M5" s="195"/>
      <c r="N5" s="195"/>
      <c r="O5" s="195"/>
      <c r="P5" s="195"/>
      <c r="Q5" s="195"/>
      <c r="R5" s="195"/>
      <c r="S5" s="195"/>
      <c r="T5" s="143"/>
      <c r="U5" s="143"/>
      <c r="V5" s="143"/>
      <c r="W5" s="143"/>
      <c r="X5" s="143"/>
      <c r="Y5" s="143"/>
      <c r="Z5" s="143"/>
      <c r="AA5" s="143"/>
      <c r="AB5" s="1593" t="str">
        <f ca="1">IF(AO2="○","令和 　 年　  月　　日",IF(AO2="◎",TODAY(),""))</f>
        <v/>
      </c>
      <c r="AC5" s="1593"/>
      <c r="AD5" s="1593"/>
      <c r="AE5" s="1593"/>
      <c r="AF5" s="1593"/>
      <c r="AG5" s="1593"/>
      <c r="AH5" s="1593"/>
      <c r="AI5" s="1593"/>
      <c r="AJ5" s="1593"/>
      <c r="AK5" s="143"/>
      <c r="AO5" s="1589"/>
    </row>
    <row r="6" spans="1:42" s="199" customFormat="1">
      <c r="A6" s="143"/>
      <c r="B6" s="143"/>
      <c r="C6" s="143"/>
      <c r="D6" s="143"/>
      <c r="E6" s="143"/>
      <c r="F6" s="144"/>
      <c r="G6" s="143"/>
      <c r="H6" s="143"/>
      <c r="I6" s="143"/>
      <c r="J6" s="143"/>
      <c r="K6" s="143"/>
      <c r="L6" s="143"/>
      <c r="M6" s="195"/>
      <c r="N6" s="195"/>
      <c r="O6" s="195"/>
      <c r="P6" s="195"/>
      <c r="Q6" s="195"/>
      <c r="R6" s="195"/>
      <c r="S6" s="195"/>
      <c r="T6" s="143"/>
      <c r="U6" s="143"/>
      <c r="V6" s="143"/>
      <c r="W6" s="143"/>
      <c r="X6" s="143"/>
      <c r="Y6" s="143"/>
      <c r="Z6" s="143"/>
      <c r="AA6" s="143"/>
      <c r="AB6" s="359"/>
      <c r="AC6" s="359"/>
      <c r="AD6" s="359"/>
      <c r="AE6" s="359"/>
      <c r="AF6" s="359"/>
      <c r="AG6" s="359"/>
      <c r="AH6" s="359"/>
      <c r="AI6" s="359"/>
      <c r="AJ6" s="359"/>
      <c r="AK6" s="143"/>
      <c r="AO6" s="358"/>
    </row>
    <row r="7" spans="1:42" s="199" customFormat="1">
      <c r="A7" s="143"/>
      <c r="B7" s="143"/>
      <c r="C7" s="143"/>
      <c r="D7" s="143"/>
      <c r="E7" s="143"/>
      <c r="F7" s="144"/>
      <c r="G7" s="143"/>
      <c r="H7" s="143"/>
      <c r="I7" s="143"/>
      <c r="J7" s="143"/>
      <c r="K7" s="143"/>
      <c r="L7" s="143"/>
      <c r="M7" s="195"/>
      <c r="N7" s="195"/>
      <c r="O7" s="195"/>
      <c r="P7" s="195"/>
      <c r="Q7" s="195"/>
      <c r="R7" s="195"/>
      <c r="S7" s="195"/>
      <c r="T7" s="143"/>
      <c r="U7" s="143"/>
      <c r="V7" s="143"/>
      <c r="W7" s="143"/>
      <c r="X7" s="143"/>
      <c r="Y7" s="143"/>
      <c r="Z7" s="143"/>
      <c r="AA7" s="143"/>
      <c r="AB7" s="143"/>
      <c r="AC7" s="143"/>
      <c r="AD7" s="143"/>
      <c r="AE7" s="143"/>
      <c r="AF7" s="143"/>
      <c r="AG7" s="143"/>
      <c r="AH7" s="143"/>
      <c r="AI7" s="143"/>
      <c r="AJ7" s="143"/>
      <c r="AK7" s="143"/>
    </row>
    <row r="8" spans="1:42" s="199" customFormat="1">
      <c r="A8" s="143"/>
      <c r="B8" s="1590" t="str">
        <f>IF(使用取止め届!F20="","",使用取止め届!F20)</f>
        <v/>
      </c>
      <c r="C8" s="1590"/>
      <c r="D8" s="1590"/>
      <c r="E8" s="1590"/>
      <c r="F8" s="1590"/>
      <c r="G8" s="1590"/>
      <c r="H8" s="1590"/>
      <c r="I8" s="1590"/>
      <c r="J8" s="1590"/>
      <c r="K8" s="1590"/>
      <c r="L8" s="1590"/>
      <c r="M8" s="1590"/>
      <c r="N8" s="1590"/>
      <c r="O8" s="1590"/>
      <c r="P8" s="1590"/>
      <c r="Q8" s="1590"/>
      <c r="R8" s="1590"/>
      <c r="S8" s="1590"/>
      <c r="T8" s="1590"/>
      <c r="U8" s="1590"/>
      <c r="V8" s="1590"/>
      <c r="W8" s="143"/>
      <c r="X8" s="143"/>
      <c r="Y8" s="143"/>
      <c r="Z8" s="143"/>
      <c r="AA8" s="143"/>
      <c r="AB8" s="143"/>
      <c r="AC8" s="143"/>
      <c r="AD8" s="143"/>
      <c r="AE8" s="143"/>
      <c r="AF8" s="143"/>
      <c r="AG8" s="143"/>
      <c r="AH8" s="143"/>
      <c r="AI8" s="143"/>
      <c r="AJ8" s="143"/>
      <c r="AK8" s="143"/>
    </row>
    <row r="9" spans="1:42" s="199" customFormat="1">
      <c r="A9" s="143"/>
      <c r="B9" s="143"/>
      <c r="C9" s="1591" t="str">
        <f>IF(使用取止め届!AC8="","",CONCATENATE(使用取止め届!X24,"　",使用取止め届!I24))</f>
        <v/>
      </c>
      <c r="D9" s="1591"/>
      <c r="E9" s="1591"/>
      <c r="F9" s="1591"/>
      <c r="G9" s="1591"/>
      <c r="H9" s="1591"/>
      <c r="I9" s="1591"/>
      <c r="J9" s="1591"/>
      <c r="K9" s="1591"/>
      <c r="L9" s="1591"/>
      <c r="M9" s="1591"/>
      <c r="N9" s="1591"/>
      <c r="O9" s="1591"/>
      <c r="P9" s="1591"/>
      <c r="Q9" s="1591"/>
      <c r="R9" s="1591"/>
      <c r="S9" s="1591"/>
      <c r="T9" s="1591"/>
      <c r="U9" s="1591"/>
      <c r="V9" s="1591"/>
      <c r="W9" s="143"/>
      <c r="X9" s="143"/>
      <c r="Y9" s="143"/>
      <c r="Z9" s="143"/>
      <c r="AA9" s="143"/>
      <c r="AB9" s="143"/>
      <c r="AC9" s="143"/>
      <c r="AD9" s="143"/>
      <c r="AE9" s="143"/>
      <c r="AF9" s="143"/>
      <c r="AG9" s="143"/>
      <c r="AH9" s="143"/>
      <c r="AI9" s="143"/>
      <c r="AJ9" s="143"/>
      <c r="AK9" s="143"/>
    </row>
    <row r="10" spans="1:42" s="199" customFormat="1">
      <c r="A10" s="143"/>
      <c r="B10" s="143"/>
      <c r="C10" s="143"/>
      <c r="D10" s="143"/>
      <c r="E10" s="143"/>
      <c r="F10" s="144"/>
      <c r="G10" s="143"/>
      <c r="H10" s="143"/>
      <c r="I10" s="143"/>
      <c r="J10" s="143"/>
      <c r="K10" s="143"/>
      <c r="L10" s="143"/>
      <c r="M10" s="195"/>
      <c r="N10" s="195"/>
      <c r="O10" s="195"/>
      <c r="P10" s="195"/>
      <c r="Q10" s="195"/>
      <c r="R10" s="195"/>
      <c r="S10" s="195"/>
      <c r="T10" s="143"/>
      <c r="U10" s="143"/>
      <c r="V10" s="143"/>
      <c r="W10" s="143"/>
      <c r="X10" s="143"/>
      <c r="Y10" s="143"/>
      <c r="Z10" s="143"/>
      <c r="AA10" s="143"/>
      <c r="AB10" s="143"/>
      <c r="AC10" s="143"/>
      <c r="AD10" s="143"/>
      <c r="AE10" s="143"/>
      <c r="AF10" s="143"/>
      <c r="AG10" s="143"/>
      <c r="AH10" s="143"/>
      <c r="AI10" s="143"/>
      <c r="AJ10" s="143"/>
      <c r="AK10" s="143"/>
    </row>
    <row r="11" spans="1:42" s="199" customFormat="1">
      <c r="A11" s="143"/>
      <c r="B11" s="143"/>
      <c r="C11" s="143"/>
      <c r="D11" s="143"/>
      <c r="E11" s="143"/>
      <c r="F11" s="144"/>
      <c r="G11" s="143"/>
      <c r="H11" s="143"/>
      <c r="I11" s="143"/>
      <c r="J11" s="143"/>
      <c r="K11" s="143"/>
      <c r="L11" s="143"/>
      <c r="M11" s="195"/>
      <c r="N11" s="195"/>
      <c r="O11" s="195"/>
      <c r="P11" s="195"/>
      <c r="Q11" s="195"/>
      <c r="R11" s="195"/>
      <c r="S11" s="195"/>
      <c r="T11" s="143"/>
      <c r="U11" s="143"/>
      <c r="V11" s="143"/>
      <c r="W11" s="143"/>
      <c r="X11" s="143"/>
      <c r="Y11" s="143"/>
      <c r="Z11" s="143"/>
      <c r="AA11" s="143"/>
      <c r="AB11" s="143"/>
      <c r="AC11" s="143"/>
      <c r="AD11" s="143"/>
      <c r="AE11" s="143"/>
      <c r="AF11" s="143"/>
      <c r="AG11" s="143"/>
      <c r="AH11" s="143"/>
      <c r="AI11" s="143"/>
      <c r="AJ11" s="143"/>
      <c r="AK11" s="143"/>
    </row>
    <row r="12" spans="1:42" s="199" customFormat="1">
      <c r="A12" s="143"/>
      <c r="B12" s="143"/>
      <c r="C12" s="143"/>
      <c r="D12" s="143"/>
      <c r="E12" s="143"/>
      <c r="F12" s="144"/>
      <c r="G12" s="143"/>
      <c r="H12" s="143"/>
      <c r="I12" s="143"/>
      <c r="J12" s="143"/>
      <c r="K12" s="143"/>
      <c r="L12" s="143"/>
      <c r="M12" s="195"/>
      <c r="N12" s="195"/>
      <c r="O12" s="195"/>
      <c r="P12" s="195"/>
      <c r="Q12" s="195"/>
      <c r="R12" s="195"/>
      <c r="S12" s="195"/>
      <c r="T12" s="143"/>
      <c r="U12" s="143"/>
      <c r="V12" s="143"/>
      <c r="W12" s="143"/>
      <c r="X12" s="143"/>
      <c r="Y12" s="143"/>
      <c r="Z12" s="143"/>
      <c r="AA12" s="143"/>
      <c r="AB12" s="143"/>
      <c r="AC12" s="143"/>
      <c r="AD12" s="143"/>
      <c r="AE12" s="143"/>
      <c r="AF12" s="143"/>
      <c r="AG12" s="143"/>
      <c r="AH12" s="143"/>
      <c r="AI12" s="143"/>
      <c r="AJ12" s="143"/>
      <c r="AK12" s="143"/>
    </row>
    <row r="13" spans="1:42" s="199" customFormat="1">
      <c r="A13" s="143"/>
      <c r="B13" s="143"/>
      <c r="C13" s="143"/>
      <c r="D13" s="143"/>
      <c r="E13" s="143"/>
      <c r="F13" s="144"/>
      <c r="G13" s="143"/>
      <c r="H13" s="143"/>
      <c r="I13" s="143"/>
      <c r="J13" s="143"/>
      <c r="K13" s="143"/>
      <c r="L13" s="143"/>
      <c r="M13" s="195"/>
      <c r="N13" s="195"/>
      <c r="O13" s="195"/>
      <c r="P13" s="195"/>
      <c r="Q13" s="195"/>
      <c r="R13" s="195"/>
      <c r="S13" s="195"/>
      <c r="T13" s="143"/>
      <c r="U13" s="143"/>
      <c r="V13" s="991" t="s">
        <v>351</v>
      </c>
      <c r="W13" s="991"/>
      <c r="X13" s="991"/>
      <c r="Y13" s="991"/>
      <c r="Z13" s="991"/>
      <c r="AA13" s="991"/>
      <c r="AB13" s="991"/>
      <c r="AC13" s="991"/>
      <c r="AD13" s="991"/>
      <c r="AE13" s="991"/>
      <c r="AF13" s="991"/>
      <c r="AG13" s="143"/>
      <c r="AH13" s="143"/>
      <c r="AI13" s="143"/>
      <c r="AJ13" s="143"/>
      <c r="AK13" s="143"/>
    </row>
    <row r="14" spans="1:42" s="199" customFormat="1">
      <c r="A14" s="143"/>
      <c r="B14" s="143"/>
      <c r="C14" s="143"/>
      <c r="D14" s="143"/>
      <c r="E14" s="143"/>
      <c r="F14" s="144"/>
      <c r="G14" s="143"/>
      <c r="H14" s="143"/>
      <c r="I14" s="143"/>
      <c r="J14" s="143"/>
      <c r="K14" s="143"/>
      <c r="L14" s="143"/>
      <c r="M14" s="195"/>
      <c r="N14" s="195"/>
      <c r="O14" s="195"/>
      <c r="P14" s="195"/>
      <c r="Q14" s="195"/>
      <c r="R14" s="195"/>
      <c r="S14" s="195"/>
      <c r="T14" s="143"/>
      <c r="U14" s="143"/>
      <c r="V14" s="143"/>
      <c r="W14" s="143"/>
      <c r="X14" s="143"/>
      <c r="Y14" s="143"/>
      <c r="Z14" s="143"/>
      <c r="AA14" s="143"/>
      <c r="AB14" s="143"/>
      <c r="AC14" s="143"/>
      <c r="AD14" s="143"/>
      <c r="AE14" s="143"/>
      <c r="AF14" s="143"/>
      <c r="AG14" s="143"/>
      <c r="AH14" s="143"/>
      <c r="AI14" s="143"/>
      <c r="AJ14" s="143"/>
      <c r="AK14" s="143"/>
    </row>
    <row r="15" spans="1:42" s="199" customFormat="1">
      <c r="A15" s="143"/>
      <c r="B15" s="143"/>
      <c r="C15" s="143"/>
      <c r="D15" s="143"/>
      <c r="E15" s="143"/>
      <c r="F15" s="144"/>
      <c r="G15" s="143"/>
      <c r="H15" s="143"/>
      <c r="I15" s="143"/>
      <c r="J15" s="143"/>
      <c r="K15" s="143"/>
      <c r="L15" s="143"/>
      <c r="M15" s="195"/>
      <c r="N15" s="195"/>
      <c r="O15" s="195"/>
      <c r="P15" s="195"/>
      <c r="Q15" s="195"/>
      <c r="R15" s="195"/>
      <c r="S15" s="195"/>
      <c r="T15" s="143"/>
      <c r="U15" s="143"/>
      <c r="V15" s="143"/>
      <c r="W15" s="143"/>
      <c r="X15" s="143"/>
      <c r="Y15" s="143"/>
      <c r="Z15" s="143"/>
      <c r="AA15" s="143"/>
      <c r="AB15" s="143"/>
      <c r="AC15" s="143"/>
      <c r="AD15" s="143"/>
      <c r="AE15" s="143"/>
      <c r="AF15" s="143"/>
      <c r="AG15" s="143"/>
      <c r="AH15" s="143"/>
      <c r="AI15" s="143"/>
      <c r="AJ15" s="143"/>
      <c r="AK15" s="143"/>
    </row>
    <row r="16" spans="1:42" s="199" customFormat="1">
      <c r="A16" s="143"/>
      <c r="B16" s="143"/>
      <c r="C16" s="143"/>
      <c r="D16" s="143"/>
      <c r="E16" s="143"/>
      <c r="F16" s="144"/>
      <c r="G16" s="143"/>
      <c r="H16" s="143"/>
      <c r="I16" s="143"/>
      <c r="J16" s="143"/>
      <c r="K16" s="143"/>
      <c r="L16" s="143"/>
      <c r="M16" s="195"/>
      <c r="N16" s="195"/>
      <c r="O16" s="195"/>
      <c r="P16" s="195"/>
      <c r="Q16" s="195"/>
      <c r="R16" s="195"/>
      <c r="S16" s="195"/>
      <c r="T16" s="143"/>
      <c r="U16" s="143"/>
      <c r="V16" s="143"/>
      <c r="W16" s="143"/>
      <c r="X16" s="143"/>
      <c r="Y16" s="143"/>
      <c r="Z16" s="143"/>
      <c r="AA16" s="143"/>
      <c r="AB16" s="143"/>
      <c r="AC16" s="143"/>
      <c r="AD16" s="143"/>
      <c r="AE16" s="143"/>
      <c r="AF16" s="143"/>
      <c r="AG16" s="143"/>
      <c r="AH16" s="143"/>
      <c r="AI16" s="143"/>
      <c r="AJ16" s="143"/>
      <c r="AK16" s="143"/>
    </row>
    <row r="17" spans="1:40" s="199" customFormat="1">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row>
    <row r="18" spans="1:40" s="199" customFormat="1" ht="16.5" customHeight="1">
      <c r="A18" s="143"/>
      <c r="B18" s="349"/>
      <c r="C18" s="1592" t="str">
        <f>IF(使用取止め届!AC8="","",使用取止め届!AC8)</f>
        <v/>
      </c>
      <c r="D18" s="1592"/>
      <c r="E18" s="1592"/>
      <c r="F18" s="1592"/>
      <c r="G18" s="1592"/>
      <c r="H18" s="1592"/>
      <c r="I18" s="1594" t="s">
        <v>354</v>
      </c>
      <c r="J18" s="1594"/>
      <c r="K18" s="1594"/>
      <c r="L18" s="1594"/>
      <c r="M18" s="1594"/>
      <c r="N18" s="1594"/>
      <c r="O18" s="1594"/>
      <c r="P18" s="1594"/>
      <c r="Q18" s="1594"/>
      <c r="R18" s="1594"/>
      <c r="S18" s="1594"/>
      <c r="T18" s="1595" t="str">
        <f>IF(使用取止め届!I14="","",使用取止め届!I14)</f>
        <v/>
      </c>
      <c r="U18" s="1595"/>
      <c r="V18" s="1595"/>
      <c r="W18" s="1595"/>
      <c r="X18" s="360" t="str">
        <f>IF(使用取止め届!M14="","",使用取止め届!M14)</f>
        <v/>
      </c>
      <c r="Y18" s="1596" t="s">
        <v>356</v>
      </c>
      <c r="Z18" s="1596"/>
      <c r="AA18" s="1596"/>
      <c r="AB18" s="1596"/>
      <c r="AC18" s="1596"/>
      <c r="AD18" s="1596"/>
      <c r="AE18" s="1596"/>
      <c r="AF18" s="1596"/>
      <c r="AG18" s="1596"/>
      <c r="AH18" s="1596"/>
      <c r="AI18" s="1596"/>
      <c r="AJ18" s="1596"/>
      <c r="AK18" s="344"/>
    </row>
    <row r="19" spans="1:40" s="199" customFormat="1" ht="16.5" customHeight="1">
      <c r="A19" s="143"/>
      <c r="B19" s="1594" t="s">
        <v>357</v>
      </c>
      <c r="C19" s="1594"/>
      <c r="D19" s="1594"/>
      <c r="E19" s="1594"/>
      <c r="F19" s="1594"/>
      <c r="G19" s="1594"/>
      <c r="H19" s="1594"/>
      <c r="I19" s="1594"/>
      <c r="J19" s="1594"/>
      <c r="K19" s="1594"/>
      <c r="L19" s="1594"/>
      <c r="M19" s="1594"/>
      <c r="N19" s="1594"/>
      <c r="O19" s="1594"/>
      <c r="P19" s="1594"/>
      <c r="Q19" s="1594"/>
      <c r="R19" s="1594"/>
      <c r="S19" s="1594"/>
      <c r="T19" s="1594"/>
      <c r="U19" s="1594"/>
      <c r="V19" s="1594"/>
      <c r="W19" s="1594"/>
      <c r="X19" s="1594"/>
      <c r="Y19" s="1594"/>
      <c r="Z19" s="1594"/>
      <c r="AA19" s="1594"/>
      <c r="AB19" s="1594"/>
      <c r="AC19" s="1594"/>
      <c r="AD19" s="1594"/>
      <c r="AE19" s="1594"/>
      <c r="AF19" s="1594"/>
      <c r="AG19" s="1594"/>
      <c r="AH19" s="1594"/>
      <c r="AI19" s="1594"/>
      <c r="AJ19" s="1594"/>
      <c r="AK19" s="143"/>
    </row>
    <row r="20" spans="1:40" s="199" customFormat="1" ht="16.5" customHeight="1">
      <c r="A20" s="143"/>
      <c r="B20" s="1594" t="s">
        <v>358</v>
      </c>
      <c r="C20" s="1594"/>
      <c r="D20" s="1594"/>
      <c r="E20" s="1594"/>
      <c r="F20" s="1594"/>
      <c r="G20" s="1594"/>
      <c r="H20" s="1594"/>
      <c r="I20" s="1594"/>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row>
    <row r="21" spans="1:40" s="199" customFormat="1">
      <c r="A21" s="143"/>
      <c r="B21" s="143"/>
      <c r="C21" s="143"/>
      <c r="D21" s="143"/>
      <c r="E21" s="143"/>
      <c r="F21" s="144"/>
      <c r="G21" s="143"/>
      <c r="H21" s="143"/>
      <c r="I21" s="143"/>
      <c r="J21" s="143"/>
      <c r="K21" s="143"/>
      <c r="L21" s="143"/>
      <c r="M21" s="195"/>
      <c r="N21" s="195"/>
      <c r="O21" s="195"/>
      <c r="P21" s="195"/>
      <c r="Q21" s="195"/>
      <c r="R21" s="195"/>
      <c r="S21" s="195"/>
      <c r="T21" s="143"/>
      <c r="U21" s="143"/>
      <c r="V21" s="143"/>
      <c r="W21" s="143"/>
      <c r="X21" s="143"/>
      <c r="Y21" s="143"/>
      <c r="Z21" s="143"/>
      <c r="AA21" s="143"/>
      <c r="AB21" s="143"/>
      <c r="AC21" s="143"/>
      <c r="AD21" s="143"/>
      <c r="AE21" s="143"/>
      <c r="AF21" s="143"/>
      <c r="AG21" s="143"/>
      <c r="AH21" s="143"/>
      <c r="AI21" s="143"/>
      <c r="AJ21" s="143"/>
      <c r="AK21" s="143"/>
    </row>
    <row r="22" spans="1:40" s="199" customFormat="1">
      <c r="A22" s="143"/>
      <c r="B22" s="1029" t="s">
        <v>67</v>
      </c>
      <c r="C22" s="1029"/>
      <c r="D22" s="1029"/>
      <c r="E22" s="1029"/>
      <c r="F22" s="1029"/>
      <c r="G22" s="1029"/>
      <c r="H22" s="1029"/>
      <c r="I22" s="1029"/>
      <c r="J22" s="1029"/>
      <c r="K22" s="1029"/>
      <c r="L22" s="1029"/>
      <c r="M22" s="1029"/>
      <c r="N22" s="1029"/>
      <c r="O22" s="1029"/>
      <c r="P22" s="1029"/>
      <c r="Q22" s="1029"/>
      <c r="R22" s="1029"/>
      <c r="S22" s="1029"/>
      <c r="T22" s="1029"/>
      <c r="U22" s="1029"/>
      <c r="V22" s="1029"/>
      <c r="W22" s="1029"/>
      <c r="X22" s="1029"/>
      <c r="Y22" s="1029"/>
      <c r="Z22" s="1029"/>
      <c r="AA22" s="1029"/>
      <c r="AB22" s="1029"/>
      <c r="AC22" s="1029"/>
      <c r="AD22" s="1029"/>
      <c r="AE22" s="1029"/>
      <c r="AF22" s="1029"/>
      <c r="AG22" s="1029"/>
      <c r="AH22" s="1029"/>
      <c r="AI22" s="1029"/>
      <c r="AJ22" s="1029"/>
      <c r="AK22" s="1029"/>
    </row>
    <row r="23" spans="1:40" s="199" customFormat="1">
      <c r="A23" s="143"/>
      <c r="B23" s="191"/>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43"/>
    </row>
    <row r="24" spans="1:40" s="199" customFormat="1" ht="15" thickBot="1">
      <c r="A24" s="143"/>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43"/>
    </row>
    <row r="25" spans="1:40" s="199" customFormat="1" ht="13.5" customHeight="1">
      <c r="A25" s="143"/>
      <c r="B25" s="1558" t="s">
        <v>353</v>
      </c>
      <c r="C25" s="1559"/>
      <c r="D25" s="1559"/>
      <c r="E25" s="1559"/>
      <c r="F25" s="1559"/>
      <c r="G25" s="1560"/>
      <c r="H25" s="1549" t="str">
        <f>IF(申込書!E33="","",申込書!E33)</f>
        <v/>
      </c>
      <c r="I25" s="1550"/>
      <c r="J25" s="1550"/>
      <c r="K25" s="1550"/>
      <c r="L25" s="1550"/>
      <c r="M25" s="1550"/>
      <c r="N25" s="1550"/>
      <c r="O25" s="1550"/>
      <c r="P25" s="1550"/>
      <c r="Q25" s="1550"/>
      <c r="R25" s="1550"/>
      <c r="S25" s="1550"/>
      <c r="T25" s="1550"/>
      <c r="U25" s="1550"/>
      <c r="V25" s="1550"/>
      <c r="W25" s="1550"/>
      <c r="X25" s="1550"/>
      <c r="Y25" s="1550"/>
      <c r="Z25" s="1550"/>
      <c r="AA25" s="1550"/>
      <c r="AB25" s="1550"/>
      <c r="AC25" s="1550"/>
      <c r="AD25" s="1550"/>
      <c r="AE25" s="1550"/>
      <c r="AF25" s="1550"/>
      <c r="AG25" s="1550"/>
      <c r="AH25" s="1550"/>
      <c r="AI25" s="1550"/>
      <c r="AJ25" s="1551"/>
      <c r="AK25" s="143"/>
    </row>
    <row r="26" spans="1:40" s="199" customFormat="1" ht="14.25" customHeight="1">
      <c r="A26" s="143"/>
      <c r="B26" s="1561"/>
      <c r="C26" s="1562"/>
      <c r="D26" s="1562"/>
      <c r="E26" s="1562"/>
      <c r="F26" s="1562"/>
      <c r="G26" s="1563"/>
      <c r="H26" s="1552"/>
      <c r="I26" s="1553"/>
      <c r="J26" s="1553"/>
      <c r="K26" s="1553"/>
      <c r="L26" s="1553"/>
      <c r="M26" s="1553"/>
      <c r="N26" s="1553"/>
      <c r="O26" s="1553"/>
      <c r="P26" s="1553"/>
      <c r="Q26" s="1553"/>
      <c r="R26" s="1553"/>
      <c r="S26" s="1553"/>
      <c r="T26" s="1553"/>
      <c r="U26" s="1553"/>
      <c r="V26" s="1553"/>
      <c r="W26" s="1553"/>
      <c r="X26" s="1553"/>
      <c r="Y26" s="1553"/>
      <c r="Z26" s="1553"/>
      <c r="AA26" s="1553"/>
      <c r="AB26" s="1553"/>
      <c r="AC26" s="1553"/>
      <c r="AD26" s="1553"/>
      <c r="AE26" s="1553"/>
      <c r="AF26" s="1553"/>
      <c r="AG26" s="1553"/>
      <c r="AH26" s="1553"/>
      <c r="AI26" s="1553"/>
      <c r="AJ26" s="1554"/>
      <c r="AK26" s="143"/>
    </row>
    <row r="27" spans="1:40" s="199" customFormat="1" ht="14.25" customHeight="1">
      <c r="A27" s="143"/>
      <c r="B27" s="1564"/>
      <c r="C27" s="1565"/>
      <c r="D27" s="1565"/>
      <c r="E27" s="1565"/>
      <c r="F27" s="1565"/>
      <c r="G27" s="1566"/>
      <c r="H27" s="1555"/>
      <c r="I27" s="1556"/>
      <c r="J27" s="1556"/>
      <c r="K27" s="1556"/>
      <c r="L27" s="1556"/>
      <c r="M27" s="1556"/>
      <c r="N27" s="1556"/>
      <c r="O27" s="1556"/>
      <c r="P27" s="1556"/>
      <c r="Q27" s="1556"/>
      <c r="R27" s="1556"/>
      <c r="S27" s="1556"/>
      <c r="T27" s="1556"/>
      <c r="U27" s="1556"/>
      <c r="V27" s="1556"/>
      <c r="W27" s="1556"/>
      <c r="X27" s="1556"/>
      <c r="Y27" s="1556"/>
      <c r="Z27" s="1556"/>
      <c r="AA27" s="1556"/>
      <c r="AB27" s="1556"/>
      <c r="AC27" s="1556"/>
      <c r="AD27" s="1556"/>
      <c r="AE27" s="1556"/>
      <c r="AF27" s="1556"/>
      <c r="AG27" s="1556"/>
      <c r="AH27" s="1556"/>
      <c r="AI27" s="1556"/>
      <c r="AJ27" s="1557"/>
      <c r="AK27" s="143"/>
    </row>
    <row r="28" spans="1:40" s="199" customFormat="1" ht="13.5" customHeight="1">
      <c r="A28" s="143"/>
      <c r="B28" s="1567" t="s">
        <v>352</v>
      </c>
      <c r="C28" s="1568"/>
      <c r="D28" s="1568"/>
      <c r="E28" s="1568"/>
      <c r="F28" s="1568"/>
      <c r="G28" s="1569"/>
      <c r="H28" s="1576">
        <f>IF(使用者情報!H3="","",使用者情報!H3)</f>
        <v>0</v>
      </c>
      <c r="I28" s="1577"/>
      <c r="J28" s="1577"/>
      <c r="K28" s="1577"/>
      <c r="L28" s="1577"/>
      <c r="M28" s="1577"/>
      <c r="N28" s="1577"/>
      <c r="O28" s="1577"/>
      <c r="P28" s="1577"/>
      <c r="Q28" s="1577"/>
      <c r="R28" s="1577"/>
      <c r="S28" s="1577"/>
      <c r="T28" s="1577"/>
      <c r="U28" s="1573" t="str">
        <f>IF(使用者情報!H3=使用者情報!I3,"","～")</f>
        <v/>
      </c>
      <c r="V28" s="1573"/>
      <c r="W28" s="1573"/>
      <c r="X28" s="1577" t="str">
        <f>IF(使用者情報!H3=使用者情報!I3,"",使用者情報!I3)</f>
        <v/>
      </c>
      <c r="Y28" s="1577"/>
      <c r="Z28" s="1577"/>
      <c r="AA28" s="1577"/>
      <c r="AB28" s="1577"/>
      <c r="AC28" s="1577"/>
      <c r="AD28" s="1577"/>
      <c r="AE28" s="1577"/>
      <c r="AF28" s="1577"/>
      <c r="AG28" s="1577"/>
      <c r="AH28" s="1577"/>
      <c r="AI28" s="1577"/>
      <c r="AJ28" s="1582"/>
      <c r="AK28" s="143"/>
    </row>
    <row r="29" spans="1:40" s="199" customFormat="1" ht="13.5" customHeight="1">
      <c r="A29" s="143"/>
      <c r="B29" s="1561"/>
      <c r="C29" s="1562"/>
      <c r="D29" s="1562"/>
      <c r="E29" s="1562"/>
      <c r="F29" s="1562"/>
      <c r="G29" s="1563"/>
      <c r="H29" s="1578"/>
      <c r="I29" s="1579"/>
      <c r="J29" s="1579"/>
      <c r="K29" s="1579"/>
      <c r="L29" s="1579"/>
      <c r="M29" s="1579"/>
      <c r="N29" s="1579"/>
      <c r="O29" s="1579"/>
      <c r="P29" s="1579"/>
      <c r="Q29" s="1579"/>
      <c r="R29" s="1579"/>
      <c r="S29" s="1579"/>
      <c r="T29" s="1579"/>
      <c r="U29" s="1574"/>
      <c r="V29" s="1574"/>
      <c r="W29" s="1574"/>
      <c r="X29" s="1579"/>
      <c r="Y29" s="1579"/>
      <c r="Z29" s="1579"/>
      <c r="AA29" s="1579"/>
      <c r="AB29" s="1579"/>
      <c r="AC29" s="1579"/>
      <c r="AD29" s="1579"/>
      <c r="AE29" s="1579"/>
      <c r="AF29" s="1579"/>
      <c r="AG29" s="1579"/>
      <c r="AH29" s="1579"/>
      <c r="AI29" s="1579"/>
      <c r="AJ29" s="1583"/>
      <c r="AK29" s="143"/>
    </row>
    <row r="30" spans="1:40" s="199" customFormat="1" ht="14.25" customHeight="1">
      <c r="A30" s="143"/>
      <c r="B30" s="1564"/>
      <c r="C30" s="1565"/>
      <c r="D30" s="1565"/>
      <c r="E30" s="1565"/>
      <c r="F30" s="1565"/>
      <c r="G30" s="1566"/>
      <c r="H30" s="1580"/>
      <c r="I30" s="1581"/>
      <c r="J30" s="1581"/>
      <c r="K30" s="1581"/>
      <c r="L30" s="1581"/>
      <c r="M30" s="1581"/>
      <c r="N30" s="1581"/>
      <c r="O30" s="1581"/>
      <c r="P30" s="1581"/>
      <c r="Q30" s="1581"/>
      <c r="R30" s="1581"/>
      <c r="S30" s="1581"/>
      <c r="T30" s="1581"/>
      <c r="U30" s="1575"/>
      <c r="V30" s="1575"/>
      <c r="W30" s="1575"/>
      <c r="X30" s="1581"/>
      <c r="Y30" s="1581"/>
      <c r="Z30" s="1581"/>
      <c r="AA30" s="1581"/>
      <c r="AB30" s="1581"/>
      <c r="AC30" s="1581"/>
      <c r="AD30" s="1581"/>
      <c r="AE30" s="1581"/>
      <c r="AF30" s="1581"/>
      <c r="AG30" s="1581"/>
      <c r="AH30" s="1581"/>
      <c r="AI30" s="1581"/>
      <c r="AJ30" s="1584"/>
      <c r="AK30" s="143"/>
      <c r="AM30" s="370"/>
      <c r="AN30" s="199" t="s">
        <v>362</v>
      </c>
    </row>
    <row r="31" spans="1:40" s="199" customFormat="1">
      <c r="A31" s="143"/>
      <c r="B31" s="1561" t="s">
        <v>361</v>
      </c>
      <c r="C31" s="1562"/>
      <c r="D31" s="1562"/>
      <c r="E31" s="1562"/>
      <c r="F31" s="1562"/>
      <c r="G31" s="1563"/>
      <c r="H31" s="369"/>
      <c r="I31" s="1586"/>
      <c r="J31" s="1586"/>
      <c r="K31" s="1586"/>
      <c r="L31" s="1586"/>
      <c r="M31" s="1586"/>
      <c r="N31" s="1586"/>
      <c r="O31" s="1586"/>
      <c r="P31" s="1586"/>
      <c r="Q31" s="1586"/>
      <c r="R31" s="1586"/>
      <c r="S31" s="1586"/>
      <c r="T31" s="1586"/>
      <c r="U31" s="1586"/>
      <c r="V31" s="1586"/>
      <c r="W31" s="1586"/>
      <c r="X31" s="1586"/>
      <c r="Y31" s="1586"/>
      <c r="Z31" s="1586"/>
      <c r="AA31" s="1586"/>
      <c r="AB31" s="1586"/>
      <c r="AC31" s="1586"/>
      <c r="AD31" s="1586"/>
      <c r="AE31" s="1586"/>
      <c r="AF31" s="1586"/>
      <c r="AG31" s="1586"/>
      <c r="AH31" s="1586"/>
      <c r="AI31" s="361"/>
      <c r="AJ31" s="362"/>
      <c r="AK31" s="143"/>
      <c r="AM31" s="371" t="str">
        <f>IF(使用取止め届!AC8="","",使用取止め届!AC8)</f>
        <v/>
      </c>
      <c r="AN31" s="199" t="s">
        <v>360</v>
      </c>
    </row>
    <row r="32" spans="1:40" s="199" customFormat="1" ht="18.75" customHeight="1">
      <c r="A32" s="143"/>
      <c r="B32" s="1561"/>
      <c r="C32" s="1562"/>
      <c r="D32" s="1562"/>
      <c r="E32" s="1562"/>
      <c r="F32" s="1562"/>
      <c r="G32" s="1563"/>
      <c r="H32" s="369"/>
      <c r="I32" s="1548" t="str">
        <f>IF(AM30="","",IF(AM30="災害等","災害その他使用者の責めによらない事由のため不徴収とする。",IF(AM31&lt;=AM32,"使用開始日の2ヶ月前の日に該当・・・・無料",IF(AND(AM33&gt;=AM31,AM31&gt;=AM32),"使用開始日の３ヶ前の日から1ヶ月前の日に該当・・・・100分の50",IF(AM31&gt;AM33,"使用開始日の1ヶ月前の日以後に該当・・・・全額","")))))</f>
        <v/>
      </c>
      <c r="J32" s="1548"/>
      <c r="K32" s="1548"/>
      <c r="L32" s="1548"/>
      <c r="M32" s="1548"/>
      <c r="N32" s="1548"/>
      <c r="O32" s="1548"/>
      <c r="P32" s="1548"/>
      <c r="Q32" s="1548"/>
      <c r="R32" s="1548"/>
      <c r="S32" s="1548"/>
      <c r="T32" s="1548"/>
      <c r="U32" s="1548"/>
      <c r="V32" s="1548"/>
      <c r="W32" s="1548"/>
      <c r="X32" s="1548"/>
      <c r="Y32" s="1548"/>
      <c r="Z32" s="1548"/>
      <c r="AA32" s="1548"/>
      <c r="AB32" s="1548"/>
      <c r="AC32" s="1548"/>
      <c r="AD32" s="1548"/>
      <c r="AE32" s="1548"/>
      <c r="AF32" s="1548"/>
      <c r="AG32" s="1548"/>
      <c r="AH32" s="1548"/>
      <c r="AI32" s="1548"/>
      <c r="AJ32" s="362"/>
      <c r="AK32" s="143"/>
      <c r="AM32" s="429" t="e">
        <f>IF(H28="","",EOMONTH(H28,-2))</f>
        <v>#NUM!</v>
      </c>
      <c r="AN32" s="199" t="s">
        <v>419</v>
      </c>
    </row>
    <row r="33" spans="1:40" s="199" customFormat="1" ht="23.25" customHeight="1">
      <c r="A33" s="143"/>
      <c r="B33" s="1561"/>
      <c r="C33" s="1562"/>
      <c r="D33" s="1562"/>
      <c r="E33" s="1562"/>
      <c r="F33" s="1562"/>
      <c r="G33" s="1563"/>
      <c r="H33" s="369"/>
      <c r="I33" s="1585" t="str">
        <f>IF(AM30="","",IF(AM30="災害等","※納入済の使用料の返付は、下記担当者からの指示によること。","※支払いが生じた場合は、本学の発する請求書により、指定の期日までに支払うこと。"))</f>
        <v/>
      </c>
      <c r="J33" s="1585"/>
      <c r="K33" s="1585"/>
      <c r="L33" s="1585"/>
      <c r="M33" s="1585"/>
      <c r="N33" s="1585"/>
      <c r="O33" s="1585"/>
      <c r="P33" s="1585"/>
      <c r="Q33" s="1585"/>
      <c r="R33" s="1585"/>
      <c r="S33" s="1585"/>
      <c r="T33" s="1585"/>
      <c r="U33" s="1585"/>
      <c r="V33" s="1585"/>
      <c r="W33" s="1585"/>
      <c r="X33" s="1585"/>
      <c r="Y33" s="1585"/>
      <c r="Z33" s="1585"/>
      <c r="AA33" s="1585"/>
      <c r="AB33" s="1585"/>
      <c r="AC33" s="1585"/>
      <c r="AD33" s="1585"/>
      <c r="AE33" s="1585"/>
      <c r="AF33" s="1585"/>
      <c r="AG33" s="1585"/>
      <c r="AH33" s="1585"/>
      <c r="AI33" s="1585"/>
      <c r="AJ33" s="362"/>
      <c r="AK33" s="143"/>
      <c r="AM33" s="429" t="e">
        <f>IF(H28="","",EOMONTH(H28,-1))</f>
        <v>#NUM!</v>
      </c>
      <c r="AN33" s="199" t="s">
        <v>359</v>
      </c>
    </row>
    <row r="34" spans="1:40" ht="7.5" customHeight="1" thickBot="1">
      <c r="A34" s="179"/>
      <c r="B34" s="1570"/>
      <c r="C34" s="1571"/>
      <c r="D34" s="1571"/>
      <c r="E34" s="1571"/>
      <c r="F34" s="1571"/>
      <c r="G34" s="1572"/>
      <c r="H34" s="363"/>
      <c r="I34" s="364"/>
      <c r="J34" s="364"/>
      <c r="K34" s="364"/>
      <c r="L34" s="364"/>
      <c r="M34" s="364"/>
      <c r="N34" s="364"/>
      <c r="O34" s="364"/>
      <c r="P34" s="364"/>
      <c r="Q34" s="364"/>
      <c r="R34" s="364"/>
      <c r="S34" s="364"/>
      <c r="T34" s="364"/>
      <c r="U34" s="364"/>
      <c r="V34" s="364"/>
      <c r="W34" s="364"/>
      <c r="X34" s="364"/>
      <c r="Y34" s="364"/>
      <c r="Z34" s="364"/>
      <c r="AA34" s="364"/>
      <c r="AB34" s="364"/>
      <c r="AC34" s="364"/>
      <c r="AD34" s="364"/>
      <c r="AE34" s="364"/>
      <c r="AF34" s="364"/>
      <c r="AG34" s="364"/>
      <c r="AH34" s="364"/>
      <c r="AI34" s="364"/>
      <c r="AJ34" s="365"/>
      <c r="AK34" s="179"/>
    </row>
    <row r="35" spans="1:40" ht="38.25" customHeight="1">
      <c r="A35" s="179"/>
      <c r="B35" s="366"/>
      <c r="C35" s="366"/>
      <c r="D35" s="366"/>
      <c r="E35" s="366"/>
      <c r="F35" s="366"/>
      <c r="G35" s="366"/>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179"/>
    </row>
    <row r="36" spans="1:40" ht="14.25" customHeight="1">
      <c r="A36" s="179"/>
      <c r="B36" s="367" t="str">
        <f>IF(AM30="災害等","【返付担当】",IF(AM30="その他","【請求書に関するお問合せ】",""))</f>
        <v/>
      </c>
      <c r="C36" s="366"/>
      <c r="D36" s="366"/>
      <c r="E36" s="366"/>
      <c r="F36" s="366"/>
      <c r="G36" s="366"/>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179"/>
    </row>
    <row r="37" spans="1:40" ht="4.5" customHeight="1">
      <c r="A37" s="179"/>
      <c r="B37" s="366"/>
      <c r="C37" s="366"/>
      <c r="D37" s="366"/>
      <c r="E37" s="366"/>
      <c r="F37" s="366"/>
      <c r="G37" s="366"/>
      <c r="H37" s="361"/>
      <c r="I37" s="361"/>
      <c r="J37" s="361"/>
      <c r="K37" s="361"/>
      <c r="L37" s="361"/>
      <c r="M37" s="361"/>
      <c r="N37" s="361"/>
      <c r="O37" s="361"/>
      <c r="P37" s="361"/>
      <c r="Q37" s="361"/>
      <c r="R37" s="361"/>
      <c r="S37" s="361"/>
      <c r="T37" s="361"/>
      <c r="U37" s="361"/>
      <c r="V37" s="361"/>
      <c r="W37" s="361"/>
      <c r="X37" s="361"/>
      <c r="Y37" s="361"/>
      <c r="Z37" s="361"/>
      <c r="AA37" s="361"/>
      <c r="AB37" s="361"/>
      <c r="AC37" s="361"/>
      <c r="AD37" s="361"/>
      <c r="AE37" s="361"/>
      <c r="AF37" s="361"/>
      <c r="AG37" s="361"/>
      <c r="AH37" s="361"/>
      <c r="AI37" s="361"/>
      <c r="AJ37" s="361"/>
      <c r="AK37" s="179"/>
    </row>
    <row r="38" spans="1:40" ht="14.25" customHeight="1">
      <c r="A38" s="179"/>
      <c r="B38" s="366"/>
      <c r="C38" s="367" t="str">
        <f>IF(OR(AM30="災害等",AM30="その他"),"東北大学東北大学百周年記念会館　事務室　　022-795-3391","")</f>
        <v/>
      </c>
      <c r="D38" s="366"/>
      <c r="E38" s="366"/>
      <c r="F38" s="366"/>
      <c r="G38" s="366"/>
      <c r="H38" s="361"/>
      <c r="I38" s="361"/>
      <c r="J38" s="361"/>
      <c r="K38" s="361"/>
      <c r="L38" s="361"/>
      <c r="M38" s="361"/>
      <c r="N38" s="361"/>
      <c r="O38" s="361"/>
      <c r="P38" s="361"/>
      <c r="Q38" s="361"/>
      <c r="R38" s="361"/>
      <c r="S38" s="361"/>
      <c r="T38" s="361"/>
      <c r="U38" s="361"/>
      <c r="V38" s="361"/>
      <c r="W38" s="361"/>
      <c r="X38" s="361"/>
      <c r="Y38" s="361"/>
      <c r="Z38" s="361"/>
      <c r="AA38" s="361"/>
      <c r="AB38" s="361"/>
      <c r="AC38" s="361"/>
      <c r="AD38" s="361"/>
      <c r="AE38" s="361"/>
      <c r="AF38" s="361"/>
      <c r="AG38" s="361"/>
      <c r="AH38" s="361"/>
      <c r="AI38" s="361"/>
      <c r="AJ38" s="361"/>
      <c r="AK38" s="179"/>
    </row>
    <row r="39" spans="1:40" ht="14.25" customHeight="1">
      <c r="A39" s="179"/>
      <c r="B39" s="366"/>
      <c r="C39" s="366"/>
      <c r="D39" s="366"/>
      <c r="E39" s="366"/>
      <c r="F39" s="366"/>
      <c r="G39" s="366"/>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179"/>
    </row>
    <row r="40" spans="1:40" ht="14.25" customHeight="1">
      <c r="A40" s="179"/>
      <c r="B40" s="366"/>
      <c r="C40" s="366"/>
      <c r="D40" s="366"/>
      <c r="E40" s="366"/>
      <c r="F40" s="366"/>
      <c r="G40" s="366"/>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179"/>
    </row>
    <row r="41" spans="1:40" ht="14.25" customHeight="1">
      <c r="A41" s="179"/>
      <c r="B41" s="366"/>
      <c r="C41" s="366"/>
      <c r="D41" s="366"/>
      <c r="E41" s="366"/>
      <c r="F41" s="366"/>
      <c r="G41" s="366"/>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179"/>
    </row>
    <row r="42" spans="1:40" ht="14.25" customHeight="1">
      <c r="A42" s="179"/>
      <c r="B42" s="366"/>
      <c r="C42" s="366"/>
      <c r="D42" s="366"/>
      <c r="E42" s="366"/>
      <c r="F42" s="366"/>
      <c r="G42" s="366"/>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179"/>
    </row>
    <row r="43" spans="1:40" ht="14.25" customHeight="1">
      <c r="A43" s="179"/>
      <c r="B43" s="366"/>
      <c r="C43" s="366"/>
      <c r="D43" s="366"/>
      <c r="E43" s="366"/>
      <c r="F43" s="366"/>
      <c r="G43" s="366"/>
      <c r="H43" s="361"/>
      <c r="I43" s="361"/>
      <c r="J43" s="361"/>
      <c r="K43" s="361"/>
      <c r="L43" s="361"/>
      <c r="M43" s="361"/>
      <c r="N43" s="361"/>
      <c r="O43" s="361"/>
      <c r="P43" s="361"/>
      <c r="Q43" s="361"/>
      <c r="R43" s="361"/>
      <c r="S43" s="361"/>
      <c r="T43" s="361"/>
      <c r="U43" s="361"/>
      <c r="V43" s="361"/>
      <c r="W43" s="361"/>
      <c r="X43" s="361"/>
      <c r="Y43" s="361"/>
      <c r="Z43" s="361"/>
      <c r="AA43" s="361"/>
      <c r="AB43" s="361"/>
      <c r="AC43" s="361"/>
      <c r="AD43" s="361"/>
      <c r="AE43" s="361"/>
      <c r="AF43" s="361"/>
      <c r="AG43" s="361"/>
      <c r="AH43" s="361"/>
      <c r="AI43" s="361"/>
      <c r="AJ43" s="361"/>
      <c r="AK43" s="179"/>
    </row>
    <row r="44" spans="1:40">
      <c r="A44" s="179"/>
      <c r="B44" s="179"/>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row>
  </sheetData>
  <mergeCells count="23">
    <mergeCell ref="B22:AK22"/>
    <mergeCell ref="I31:AH31"/>
    <mergeCell ref="AO2:AO5"/>
    <mergeCell ref="B8:V8"/>
    <mergeCell ref="C9:V9"/>
    <mergeCell ref="V13:AF13"/>
    <mergeCell ref="C18:H18"/>
    <mergeCell ref="B2:AJ2"/>
    <mergeCell ref="AB5:AJ5"/>
    <mergeCell ref="I18:S18"/>
    <mergeCell ref="T18:W18"/>
    <mergeCell ref="Y18:AJ18"/>
    <mergeCell ref="B19:AJ19"/>
    <mergeCell ref="B20:I20"/>
    <mergeCell ref="I32:AI32"/>
    <mergeCell ref="H25:AJ27"/>
    <mergeCell ref="B25:G27"/>
    <mergeCell ref="B28:G30"/>
    <mergeCell ref="B31:G34"/>
    <mergeCell ref="U28:W30"/>
    <mergeCell ref="H28:T30"/>
    <mergeCell ref="X28:AJ30"/>
    <mergeCell ref="I33:AI33"/>
  </mergeCells>
  <phoneticPr fontId="4"/>
  <dataValidations count="2">
    <dataValidation type="list" allowBlank="1" showInputMessage="1" showErrorMessage="1" sqref="AO2:AO6" xr:uid="{00000000-0002-0000-0E00-000000000000}">
      <formula1>"○,◎"</formula1>
    </dataValidation>
    <dataValidation type="list" allowBlank="1" showInputMessage="1" showErrorMessage="1" sqref="AM30" xr:uid="{00000000-0002-0000-0E00-000001000000}">
      <formula1>"災害等,その他"</formula1>
    </dataValidation>
  </dataValidations>
  <pageMargins left="0.59055118110236227" right="0.39370078740157483" top="0.74803149606299213" bottom="0.74803149606299213"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40"/>
  <sheetViews>
    <sheetView view="pageBreakPreview" zoomScale="90" zoomScaleNormal="100" zoomScaleSheetLayoutView="90" workbookViewId="0">
      <selection activeCell="H26" sqref="A23:AJ43"/>
    </sheetView>
  </sheetViews>
  <sheetFormatPr defaultColWidth="9" defaultRowHeight="12"/>
  <cols>
    <col min="1" max="1" width="3.25" style="199" customWidth="1"/>
    <col min="2" max="2" width="13.5" style="199" bestFit="1" customWidth="1"/>
    <col min="3" max="3" width="3.125" style="199" bestFit="1" customWidth="1"/>
    <col min="4" max="7" width="14.375" style="199" customWidth="1"/>
    <col min="8" max="8" width="15.125" style="199" customWidth="1"/>
    <col min="9" max="9" width="0.5" style="199" customWidth="1"/>
    <col min="10" max="10" width="2.5" style="199" customWidth="1"/>
    <col min="11" max="11" width="2.875" style="199" customWidth="1"/>
    <col min="12" max="16" width="11.25" style="199" customWidth="1"/>
    <col min="17" max="16384" width="9" style="199"/>
  </cols>
  <sheetData>
    <row r="1" spans="1:16">
      <c r="A1" s="143"/>
      <c r="B1" s="143"/>
      <c r="C1" s="143"/>
      <c r="D1" s="143"/>
      <c r="E1" s="143"/>
      <c r="F1" s="143"/>
      <c r="G1" s="174"/>
      <c r="H1" s="193" t="s">
        <v>373</v>
      </c>
      <c r="I1" s="143"/>
      <c r="L1" s="329" t="s">
        <v>313</v>
      </c>
    </row>
    <row r="2" spans="1:16" ht="27.75" customHeight="1" thickBot="1">
      <c r="A2" s="143"/>
      <c r="B2" s="143"/>
      <c r="C2" s="143"/>
      <c r="D2" s="143"/>
      <c r="E2" s="143"/>
      <c r="F2" s="143"/>
      <c r="G2" s="175"/>
      <c r="H2" s="372" t="s">
        <v>377</v>
      </c>
      <c r="I2" s="143"/>
      <c r="L2" s="331"/>
      <c r="M2" s="199" t="s">
        <v>323</v>
      </c>
    </row>
    <row r="3" spans="1:16" ht="12.75" customHeight="1">
      <c r="A3" s="633" t="s">
        <v>374</v>
      </c>
      <c r="B3" s="633"/>
      <c r="C3" s="633"/>
      <c r="D3" s="633"/>
      <c r="E3" s="633"/>
      <c r="F3" s="633"/>
      <c r="G3" s="633"/>
      <c r="H3" s="633"/>
      <c r="I3" s="143"/>
    </row>
    <row r="4" spans="1:16" ht="12.75" customHeight="1" thickBot="1">
      <c r="A4" s="633"/>
      <c r="B4" s="633"/>
      <c r="C4" s="633"/>
      <c r="D4" s="633"/>
      <c r="E4" s="633"/>
      <c r="F4" s="633"/>
      <c r="G4" s="633"/>
      <c r="H4" s="633"/>
      <c r="I4" s="143"/>
    </row>
    <row r="5" spans="1:16" ht="25.5" customHeight="1" thickBot="1">
      <c r="A5" s="373"/>
      <c r="B5" s="373" t="str">
        <f>"催事名："&amp;IF(申込書!E33="","",申込書!E33)</f>
        <v>催事名：</v>
      </c>
      <c r="C5" s="373"/>
      <c r="D5" s="373"/>
      <c r="E5" s="373"/>
      <c r="F5" s="373"/>
      <c r="G5" s="373"/>
      <c r="H5" s="373"/>
      <c r="I5" s="143"/>
      <c r="K5" s="1000" t="s">
        <v>170</v>
      </c>
      <c r="L5" s="1035"/>
      <c r="M5" s="1035"/>
      <c r="N5" s="1035"/>
      <c r="O5" s="1035"/>
      <c r="P5" s="1001"/>
    </row>
    <row r="6" spans="1:16" ht="15.75" customHeight="1">
      <c r="A6" s="724" t="s">
        <v>59</v>
      </c>
      <c r="B6" s="634"/>
      <c r="C6" s="635"/>
      <c r="D6" s="240" t="s">
        <v>50</v>
      </c>
      <c r="E6" s="240" t="s">
        <v>52</v>
      </c>
      <c r="F6" s="327" t="s">
        <v>54</v>
      </c>
      <c r="G6" s="1031" t="s">
        <v>56</v>
      </c>
      <c r="H6" s="1033" t="s">
        <v>151</v>
      </c>
      <c r="I6" s="195"/>
      <c r="K6" s="1025"/>
      <c r="L6" s="205" t="s">
        <v>50</v>
      </c>
      <c r="M6" s="205" t="s">
        <v>52</v>
      </c>
      <c r="N6" s="206" t="s">
        <v>54</v>
      </c>
      <c r="O6" s="1027" t="s">
        <v>56</v>
      </c>
      <c r="P6" s="1023" t="s">
        <v>151</v>
      </c>
    </row>
    <row r="7" spans="1:16" ht="15.75" customHeight="1" thickBot="1">
      <c r="A7" s="725"/>
      <c r="B7" s="679"/>
      <c r="C7" s="680"/>
      <c r="D7" s="241" t="s">
        <v>51</v>
      </c>
      <c r="E7" s="241" t="s">
        <v>53</v>
      </c>
      <c r="F7" s="328" t="s">
        <v>55</v>
      </c>
      <c r="G7" s="1032"/>
      <c r="H7" s="1034"/>
      <c r="I7" s="195"/>
      <c r="K7" s="1026"/>
      <c r="L7" s="207" t="s">
        <v>51</v>
      </c>
      <c r="M7" s="207" t="s">
        <v>53</v>
      </c>
      <c r="N7" s="208" t="s">
        <v>55</v>
      </c>
      <c r="O7" s="1028"/>
      <c r="P7" s="1024"/>
    </row>
    <row r="8" spans="1:16" ht="12.75" thickTop="1">
      <c r="A8" s="1019" t="s">
        <v>5</v>
      </c>
      <c r="B8" s="1248" t="str">
        <f>IF(申込書!A64="","",申込書!A64)</f>
        <v/>
      </c>
      <c r="C8" s="1260" t="str">
        <f>IF(B8="","",IF(COUNTIF(祝日!A1:A108,B8),"祝",WEEKDAY(B8)))</f>
        <v/>
      </c>
      <c r="D8" s="242" t="str">
        <f>IF(申込書!H64="","",申込書!H64)</f>
        <v/>
      </c>
      <c r="E8" s="242" t="str">
        <f>IF(申込書!N64="","",申込書!N64)</f>
        <v/>
      </c>
      <c r="F8" s="242" t="str">
        <f>IF(申込書!T64="","",申込書!T64)</f>
        <v/>
      </c>
      <c r="G8" s="243" t="str">
        <f>IF(申込書!Z64="","",申込書!Z64)</f>
        <v/>
      </c>
      <c r="H8" s="244"/>
      <c r="I8" s="195"/>
      <c r="K8" s="1020" t="s">
        <v>5</v>
      </c>
      <c r="L8" s="209" t="str">
        <f>IF(D8="","",D8)</f>
        <v/>
      </c>
      <c r="M8" s="209" t="str">
        <f>E8</f>
        <v/>
      </c>
      <c r="N8" s="209" t="str">
        <f>F8</f>
        <v/>
      </c>
      <c r="O8" s="210" t="str">
        <f>G8</f>
        <v/>
      </c>
      <c r="P8" s="211"/>
    </row>
    <row r="9" spans="1:16" ht="18.75" customHeight="1">
      <c r="A9" s="1019"/>
      <c r="B9" s="1248"/>
      <c r="C9" s="1260"/>
      <c r="D9" s="245" t="str">
        <f>IF(D8="","",VLOOKUP(判定表!G16,料金!$E$1:$W$59,7,FALSE))</f>
        <v/>
      </c>
      <c r="E9" s="245" t="str">
        <f>IF(E8="","",VLOOKUP(判定表!I16,料金!$E$1:$W$59,8,FALSE))</f>
        <v/>
      </c>
      <c r="F9" s="245" t="str">
        <f>IF(F8="","",VLOOKUP(判定表!J16,料金!$E$1:$W$59,9,FALSE))</f>
        <v/>
      </c>
      <c r="G9" s="246" t="str">
        <f>IF(D8="","",IF(G8="7:30～9:30",VLOOKUP(判定表!K16,料金!$E$1:$W$59,14,FALSE),IF(G8="8:00～9:30",VLOOKUP(判定表!K16,料金!$E$1:$W$59,15,FALSE),IF(G8="8:30～9:30",VLOOKUP(判定表!K16,料金!$E$1:$W$59,16,FALSE),""))))</f>
        <v/>
      </c>
      <c r="H9" s="247">
        <f>SUM(D9:G9)</f>
        <v>0</v>
      </c>
      <c r="I9" s="336"/>
      <c r="K9" s="1020"/>
      <c r="L9" s="212" t="str">
        <f>IF(L8="","",VLOOKUP(判定表!M16,料金!$E$1:$W$59,7,FALSE))</f>
        <v/>
      </c>
      <c r="M9" s="212" t="str">
        <f>IF(M8="","",VLOOKUP(判定表!O16,料金!$E$1:$W$59,8,FALSE))</f>
        <v/>
      </c>
      <c r="N9" s="212" t="str">
        <f>IF(N8="","",VLOOKUP(判定表!P16,料金!$E$1:$W$59,9,FALSE))</f>
        <v/>
      </c>
      <c r="O9" s="213" t="str">
        <f>IF(L8="","",IF(O8="7:30～9:30",VLOOKUP(判定表!Q16,料金!$E$1:$W$59,14,FALSE),IF(O8="8:00～9:30",VLOOKUP(判定表!Q16,料金!$E$1:$W$59,15,FALSE),IF(O8="8:30～9:30",VLOOKUP(判定表!Q16,料金!$E$1:$W$59,16,FALSE),""))))</f>
        <v/>
      </c>
      <c r="P9" s="214">
        <f>SUM(L9:O9)</f>
        <v>0</v>
      </c>
    </row>
    <row r="10" spans="1:16">
      <c r="A10" s="1019"/>
      <c r="B10" s="1249" t="str">
        <f>IF(申込書!A66="","",申込書!A66)</f>
        <v/>
      </c>
      <c r="C10" s="993" t="str">
        <f>IF(B10="","",IF(COUNTIF(祝日!A1:A108,B10),"祝",WEEKDAY(B10)))</f>
        <v/>
      </c>
      <c r="D10" s="248" t="str">
        <f>IF(申込書!H66="","",申込書!H66)</f>
        <v/>
      </c>
      <c r="E10" s="248" t="str">
        <f>IF(申込書!N66="","",申込書!N66)</f>
        <v/>
      </c>
      <c r="F10" s="248" t="str">
        <f>IF(申込書!T66="","",申込書!T66)</f>
        <v/>
      </c>
      <c r="G10" s="249" t="str">
        <f>IF(申込書!Z66="","",申込書!Z66)</f>
        <v/>
      </c>
      <c r="H10" s="250"/>
      <c r="I10" s="195"/>
      <c r="K10" s="1020"/>
      <c r="L10" s="217" t="str">
        <f>IF(D10="","",D10)</f>
        <v/>
      </c>
      <c r="M10" s="215" t="str">
        <f>E10</f>
        <v/>
      </c>
      <c r="N10" s="215" t="str">
        <f>F10</f>
        <v/>
      </c>
      <c r="O10" s="216" t="str">
        <f>G10</f>
        <v/>
      </c>
      <c r="P10" s="218"/>
    </row>
    <row r="11" spans="1:16" ht="18.75" customHeight="1">
      <c r="A11" s="1019"/>
      <c r="B11" s="1250"/>
      <c r="C11" s="1003"/>
      <c r="D11" s="251" t="str">
        <f>IF(D10="","",VLOOKUP(判定表!G18,料金!$E$1:$W$59,7,FALSE))</f>
        <v/>
      </c>
      <c r="E11" s="251" t="str">
        <f>IF(E10="","",VLOOKUP(判定表!I18,料金!$E$1:$W$59,8,FALSE))</f>
        <v/>
      </c>
      <c r="F11" s="251" t="str">
        <f>IF(F10="","",VLOOKUP(判定表!J18,料金!$E$1:$W$59,9,FALSE))</f>
        <v/>
      </c>
      <c r="G11" s="252" t="str">
        <f>IF(D10="","",IF(G10="7:30～9:30",VLOOKUP(判定表!K18,料金!$E$1:$W$59,14,FALSE),IF(G10="8:00～9:30",VLOOKUP(判定表!K18,料金!$E$1:$W$59,15,FALSE),IF(G10="8:30～9:30",VLOOKUP(判定表!K18,料金!$E$1:$W$59,16,FALSE),""))))</f>
        <v/>
      </c>
      <c r="H11" s="253">
        <f>SUM(D11:G11)</f>
        <v>0</v>
      </c>
      <c r="I11" s="336"/>
      <c r="K11" s="1020"/>
      <c r="L11" s="222" t="str">
        <f>IF(L10="","",VLOOKUP(判定表!M18,料金!$E$1:$W$59,7,FALSE))</f>
        <v/>
      </c>
      <c r="M11" s="219" t="str">
        <f>IF(M10="","",VLOOKUP(判定表!O18,料金!$E$1:$W$59,8,FALSE))</f>
        <v/>
      </c>
      <c r="N11" s="219" t="str">
        <f>IF(N10="","",VLOOKUP(判定表!P18,料金!$E$1:$W$59,9,FALSE))</f>
        <v/>
      </c>
      <c r="O11" s="220" t="str">
        <f>IF(L10="","",IF(O10="7:30～9:30",VLOOKUP(判定表!Q18,料金!$E$1:$W$59,14,FALSE),IF(O10="8:00～9:30",VLOOKUP(判定表!Q18,料金!$E$1:$W$59,15,FALSE),IF(O10="8:30～9:30",VLOOKUP(判定表!Q18,料金!$E$1:$W$59,16,FALSE),""))))</f>
        <v/>
      </c>
      <c r="P11" s="221">
        <f>SUM(L11:O11)</f>
        <v>0</v>
      </c>
    </row>
    <row r="12" spans="1:16">
      <c r="A12" s="1019"/>
      <c r="B12" s="1248" t="str">
        <f>IF(申込書!A68="","",申込書!A68)</f>
        <v/>
      </c>
      <c r="C12" s="1260" t="str">
        <f>IF(B12="","",IF(COUNTIF(祝日!A1:A108,B12),"祝",WEEKDAY(B12)))</f>
        <v/>
      </c>
      <c r="D12" s="242" t="str">
        <f>IF(申込書!H68="","",申込書!H68)</f>
        <v/>
      </c>
      <c r="E12" s="242" t="str">
        <f>IF(申込書!N68="","",申込書!N68)</f>
        <v/>
      </c>
      <c r="F12" s="242" t="str">
        <f>IF(申込書!T68="","",申込書!T68)</f>
        <v/>
      </c>
      <c r="G12" s="243" t="str">
        <f>IF(申込書!Z68="","",申込書!Z68)</f>
        <v/>
      </c>
      <c r="H12" s="244"/>
      <c r="I12" s="195"/>
      <c r="K12" s="1020"/>
      <c r="L12" s="217" t="str">
        <f>IF(D12="","",D12)</f>
        <v/>
      </c>
      <c r="M12" s="215" t="str">
        <f>E12</f>
        <v/>
      </c>
      <c r="N12" s="215" t="str">
        <f>F12</f>
        <v/>
      </c>
      <c r="O12" s="216" t="str">
        <f>G12</f>
        <v/>
      </c>
      <c r="P12" s="211"/>
    </row>
    <row r="13" spans="1:16" ht="18.75" customHeight="1">
      <c r="A13" s="1019"/>
      <c r="B13" s="1248"/>
      <c r="C13" s="1260"/>
      <c r="D13" s="245" t="str">
        <f>IF(D12="","",VLOOKUP(判定表!G20,料金!$E$1:$W$59,7,FALSE))</f>
        <v/>
      </c>
      <c r="E13" s="245" t="str">
        <f>IF(E12="","",VLOOKUP(判定表!I20,料金!$E$1:$W$59,8,FALSE))</f>
        <v/>
      </c>
      <c r="F13" s="245" t="str">
        <f>IF(F12="","",VLOOKUP(判定表!J20,料金!$E$1:$W$59,9,FALSE))</f>
        <v/>
      </c>
      <c r="G13" s="246" t="str">
        <f>IF(D12="","",IF(G12="7:30～9:30",VLOOKUP(判定表!K20,料金!$E$1:$W$59,14,FALSE),IF(G12="8:00～9:30",VLOOKUP(判定表!K20,料金!$E$1:$W$59,15,FALSE),IF(G12="8:30～9:30",VLOOKUP(判定表!K20,料金!$E$1:$W$59,16,FALSE),""))))</f>
        <v/>
      </c>
      <c r="H13" s="247">
        <f>SUM(D13:G13)</f>
        <v>0</v>
      </c>
      <c r="I13" s="336"/>
      <c r="K13" s="1020"/>
      <c r="L13" s="212" t="str">
        <f>IF(L12="","",VLOOKUP(判定表!M20,料金!$E$1:$W$59,7,FALSE))</f>
        <v/>
      </c>
      <c r="M13" s="212" t="str">
        <f>IF(M12="","",VLOOKUP(判定表!O20,料金!$E$1:$W$59,8,FALSE))</f>
        <v/>
      </c>
      <c r="N13" s="212" t="str">
        <f>IF(N12="","",VLOOKUP(判定表!P20,料金!$E$1:$W$59,9,FALSE))</f>
        <v/>
      </c>
      <c r="O13" s="213" t="str">
        <f>IF(L12="","",IF(O12="7:30～9:30",VLOOKUP(判定表!Q20,料金!$E$1:$W$59,14,FALSE),IF(O12="8:00～9:30",VLOOKUP(判定表!Q20,料金!$E$1:$W$59,15,FALSE),IF(O12="8:30～9:30",VLOOKUP(判定表!Q20,料金!$E$1:$W$59,16,FALSE),""))))</f>
        <v/>
      </c>
      <c r="P13" s="214">
        <f>SUM(L13:O13)</f>
        <v>0</v>
      </c>
    </row>
    <row r="14" spans="1:16">
      <c r="A14" s="1019"/>
      <c r="B14" s="1249" t="str">
        <f>IF(申込書!A70="","",申込書!A70)</f>
        <v/>
      </c>
      <c r="C14" s="993" t="str">
        <f>IF(B14="","",IF(COUNTIF(祝日!A1:A108,B14),"祝",WEEKDAY(B14)))</f>
        <v/>
      </c>
      <c r="D14" s="248" t="str">
        <f>IF(申込書!H70="","",申込書!H70)</f>
        <v/>
      </c>
      <c r="E14" s="248" t="str">
        <f>IF(申込書!N70="","",申込書!N70)</f>
        <v/>
      </c>
      <c r="F14" s="248" t="str">
        <f>IF(申込書!T70="","",申込書!T70)</f>
        <v/>
      </c>
      <c r="G14" s="249" t="str">
        <f>IF(申込書!Z70="","",申込書!Z70)</f>
        <v/>
      </c>
      <c r="H14" s="250"/>
      <c r="I14" s="195"/>
      <c r="K14" s="1020"/>
      <c r="L14" s="217" t="str">
        <f>IF(D14="","",D14)</f>
        <v/>
      </c>
      <c r="M14" s="215" t="str">
        <f>E14</f>
        <v/>
      </c>
      <c r="N14" s="215" t="str">
        <f>F14</f>
        <v/>
      </c>
      <c r="O14" s="216" t="str">
        <f>G14</f>
        <v/>
      </c>
      <c r="P14" s="218"/>
    </row>
    <row r="15" spans="1:16" ht="18.75" customHeight="1" thickBot="1">
      <c r="A15" s="1019"/>
      <c r="B15" s="1248"/>
      <c r="C15" s="1260"/>
      <c r="D15" s="245" t="str">
        <f>IF(D14="","",VLOOKUP(判定表!G22,料金!$E$1:$W$59,7,FALSE))</f>
        <v/>
      </c>
      <c r="E15" s="245" t="str">
        <f>IF(E14="","",VLOOKUP(判定表!I22,料金!$E$1:$W$59,8,FALSE))</f>
        <v/>
      </c>
      <c r="F15" s="245" t="str">
        <f>IF(F14="","",VLOOKUP(判定表!J22,料金!$E$1:$W$59,9,FALSE))</f>
        <v/>
      </c>
      <c r="G15" s="246" t="str">
        <f>IF(D14="","",IF(G14="7:30～9:30",VLOOKUP(判定表!K22,料金!$E$1:$W$59,14,FALSE),IF(G14="8:00～9:30",VLOOKUP(判定表!K22,料金!$E$1:$W$59,15,FALSE),IF(G14="8:30～9:30",VLOOKUP(判定表!K22,料金!$E$1:$W$59,16,FALSE),""))))</f>
        <v/>
      </c>
      <c r="H15" s="247">
        <f>SUM(D15:G15)</f>
        <v>0</v>
      </c>
      <c r="I15" s="336"/>
      <c r="K15" s="1020"/>
      <c r="L15" s="212" t="str">
        <f>IF(L14="","",VLOOKUP(判定表!M22,料金!$E$1:$W$59,7,FALSE))</f>
        <v/>
      </c>
      <c r="M15" s="212" t="str">
        <f>IF(M14="","",VLOOKUP(判定表!O22,料金!$E$1:$W$59,8,FALSE))</f>
        <v/>
      </c>
      <c r="N15" s="212" t="str">
        <f>IF(N14="","",VLOOKUP(判定表!P22,料金!$E$1:$W$59,9,FALSE))</f>
        <v/>
      </c>
      <c r="O15" s="213" t="str">
        <f>IF(L14="","",IF(O14="7:30～9:30",VLOOKUP(判定表!Q22,料金!$E$1:$W$59,14,FALSE),IF(O14="8:00～9:30",VLOOKUP(判定表!Q22,料金!$E$1:$W$59,15,FALSE),IF(O14="8:30～9:30",VLOOKUP(判定表!Q22,料金!$E$1:$W$59,16,FALSE),""))))</f>
        <v/>
      </c>
      <c r="P15" s="214">
        <f>SUM(L15:O15)</f>
        <v>0</v>
      </c>
    </row>
    <row r="16" spans="1:16">
      <c r="A16" s="997" t="s">
        <v>168</v>
      </c>
      <c r="B16" s="1247" t="str">
        <f>IF(申込書!A76="","",申込書!A76)</f>
        <v/>
      </c>
      <c r="C16" s="1004" t="str">
        <f>IF(B16="","",IF(COUNTIF(祝日!A1:A108,B16),"祝",WEEKDAY(B16)))</f>
        <v/>
      </c>
      <c r="D16" s="254" t="str">
        <f>IF(OR(申込書!H76="",申込書!H76="（会議室選択）"),"",申込書!H76)</f>
        <v/>
      </c>
      <c r="E16" s="254" t="str">
        <f>IF(OR(申込書!N76="",申込書!N76="（会議室選択）"),"",申込書!N76)</f>
        <v/>
      </c>
      <c r="F16" s="254" t="str">
        <f>IF(OR(申込書!T76="",申込書!T76="（会議室選択）"),"",申込書!T76)</f>
        <v/>
      </c>
      <c r="G16" s="255" t="str">
        <f>IF(OR(申込書!Z76="",申込書!Z76="（使用時間選択・午前使用の施設に適用）"),"",申込書!Z76)</f>
        <v/>
      </c>
      <c r="H16" s="256"/>
      <c r="I16" s="195"/>
      <c r="K16" s="1013" t="s">
        <v>168</v>
      </c>
      <c r="L16" s="223" t="str">
        <f>D16</f>
        <v/>
      </c>
      <c r="M16" s="223" t="str">
        <f>E16</f>
        <v/>
      </c>
      <c r="N16" s="223" t="str">
        <f>F16</f>
        <v/>
      </c>
      <c r="O16" s="224" t="str">
        <f>G16</f>
        <v/>
      </c>
      <c r="P16" s="225"/>
    </row>
    <row r="17" spans="1:16" ht="18.75" customHeight="1">
      <c r="A17" s="998"/>
      <c r="B17" s="1248"/>
      <c r="C17" s="1260"/>
      <c r="D17" s="245" t="str">
        <f>IF(D16="","",VLOOKUP(判定表!G26,料金!$E$1:$W$59,7,FALSE)*判定表!G25)</f>
        <v/>
      </c>
      <c r="E17" s="245" t="str">
        <f>IF(E16="","",VLOOKUP(判定表!I26,料金!$E$1:$W$59,8,FALSE)*判定表!I25)</f>
        <v/>
      </c>
      <c r="F17" s="245" t="str">
        <f>IF(F16="","",VLOOKUP(判定表!J26,料金!$E$1:$W$59,9,FALSE)*判定表!J25)</f>
        <v/>
      </c>
      <c r="G17" s="246" t="str">
        <f>IF(D16="","",IF(G16="7:30～9:30",VLOOKUP(判定表!K26,料金!$E$1:$W$59,14,FALSE)*判定表!G25,IF(G16="8:00～9:30",VLOOKUP(判定表!K26,料金!$E$1:$W$59,15,FALSE)*判定表!G25,IF(G16="8:30～9:30",VLOOKUP(判定表!K26,料金!$E$1:$W$59,16,FALSE)*判定表!G25,""))))</f>
        <v/>
      </c>
      <c r="H17" s="247">
        <f>SUM(D17:G17)</f>
        <v>0</v>
      </c>
      <c r="I17" s="336"/>
      <c r="K17" s="1014"/>
      <c r="L17" s="212" t="str">
        <f>IF(L16="","",VLOOKUP(判定表!M$26,料金!$E$1:$W$59,7,FALSE)*判定表!M$25)</f>
        <v/>
      </c>
      <c r="M17" s="212" t="str">
        <f>IF(M16="","",VLOOKUP(判定表!O26,料金!$E$1:$W$59,8,FALSE)*判定表!O25)</f>
        <v/>
      </c>
      <c r="N17" s="212" t="str">
        <f>IF(N16="","",VLOOKUP(判定表!P26,料金!$E$1:$W$59,9,FALSE)*判定表!P25)</f>
        <v/>
      </c>
      <c r="O17" s="213" t="str">
        <f>IF(L16="","",IF(O16="7:30～9:30",VLOOKUP(判定表!Q26,料金!$E$1:$W$59,14,FALSE)*判定表!M25,IF(O16="8:00～9:30",VLOOKUP(判定表!Q26,料金!$E$1:$W$59,15,FALSE)*判定表!M25,IF(O16="8:30～9:30",VLOOKUP(判定表!Q26,料金!$E$1:$W$59,16,FALSE)*判定表!M25,""))))</f>
        <v/>
      </c>
      <c r="P17" s="214">
        <f>SUM(L17:O17)</f>
        <v>0</v>
      </c>
    </row>
    <row r="18" spans="1:16">
      <c r="A18" s="998"/>
      <c r="B18" s="1249" t="str">
        <f>IF(申込書!A78="","",申込書!A78)</f>
        <v/>
      </c>
      <c r="C18" s="993" t="str">
        <f>IF(B18="","",IF(COUNTIF(祝日!A1:A108,B18),"祝",WEEKDAY(B18)))</f>
        <v/>
      </c>
      <c r="D18" s="248" t="str">
        <f>IF(OR(申込書!H78="",申込書!H78="（会議室選択）"),"",申込書!H78)</f>
        <v/>
      </c>
      <c r="E18" s="248" t="str">
        <f>IF(OR(申込書!N78="",申込書!N78="（会議室選択）"),"",申込書!N78)</f>
        <v/>
      </c>
      <c r="F18" s="248" t="str">
        <f>IF(OR(申込書!T78="",申込書!T78="（会議室選択）"),"",申込書!T78)</f>
        <v/>
      </c>
      <c r="G18" s="324" t="str">
        <f>IF(OR(申込書!Z78="",申込書!Z78="（使用時間選択・午前使用の施設に適用）"),"",申込書!Z78)</f>
        <v/>
      </c>
      <c r="H18" s="250"/>
      <c r="I18" s="195"/>
      <c r="K18" s="1014"/>
      <c r="L18" s="217" t="str">
        <f>D18</f>
        <v/>
      </c>
      <c r="M18" s="215" t="str">
        <f>E18</f>
        <v/>
      </c>
      <c r="N18" s="215" t="str">
        <f>F18</f>
        <v/>
      </c>
      <c r="O18" s="216" t="str">
        <f>G18</f>
        <v/>
      </c>
      <c r="P18" s="218"/>
    </row>
    <row r="19" spans="1:16" ht="18.75" customHeight="1">
      <c r="A19" s="998"/>
      <c r="B19" s="1250"/>
      <c r="C19" s="1003"/>
      <c r="D19" s="251" t="str">
        <f>IF(D18="","",VLOOKUP(判定表!G28,料金!$E$1:$W$59,7,FALSE)*判定表!G27)</f>
        <v/>
      </c>
      <c r="E19" s="251" t="str">
        <f>IF(E18="","",VLOOKUP(判定表!I28,料金!$E$1:$W$59,8,FALSE)*判定表!I27)</f>
        <v/>
      </c>
      <c r="F19" s="251" t="str">
        <f>IF(F18="","",VLOOKUP(判定表!J28,料金!$E$1:$W$59,9,FALSE)*判定表!J27)</f>
        <v/>
      </c>
      <c r="G19" s="323" t="str">
        <f>IF(D18="","",IF(G18="7:30～9:30",VLOOKUP(判定表!K28,料金!$E$1:$W$59,14,FALSE)*判定表!G27,IF(G18="8:00～9:30",VLOOKUP(判定表!K28,料金!$E$1:$W$59,15,FALSE)*判定表!G27,IF(G18="8:30～9:30",VLOOKUP(判定表!K28,料金!$E$1:$W$59,16,FALSE)*判定表!G27,""))))</f>
        <v/>
      </c>
      <c r="H19" s="253">
        <f>SUM(D19:G19)</f>
        <v>0</v>
      </c>
      <c r="I19" s="336"/>
      <c r="K19" s="1014"/>
      <c r="L19" s="222" t="str">
        <f>IF(L18="","",VLOOKUP(判定表!M28,料金!$E$1:$W$59,7,FALSE)*判定表!M27)</f>
        <v/>
      </c>
      <c r="M19" s="219" t="str">
        <f>IF(M18="","",VLOOKUP(判定表!O28,料金!$E$1:$W$59,8,FALSE)*判定表!O27)</f>
        <v/>
      </c>
      <c r="N19" s="219" t="str">
        <f>IF(N18="","",VLOOKUP(判定表!P28,料金!$E$1:$W$59,9,FALSE)*判定表!P27)</f>
        <v/>
      </c>
      <c r="O19" s="220" t="str">
        <f>IF(L18="","",IF(O18="7:30～9:30",VLOOKUP(判定表!Q28,料金!$E$1:$W$59,14,FALSE)*判定表!M27,IF(O18="8:00～9:30",VLOOKUP(判定表!Q28,料金!$E$1:$W$59,15,FALSE)*判定表!M27,IF(O18="8:30～9:30",VLOOKUP(判定表!Q28,料金!$E$1:$W$59,16,FALSE)*判定表!M27,""))))</f>
        <v/>
      </c>
      <c r="P19" s="221">
        <f>SUM(L19:O19)</f>
        <v>0</v>
      </c>
    </row>
    <row r="20" spans="1:16">
      <c r="A20" s="998"/>
      <c r="B20" s="1248" t="str">
        <f>IF(申込書!A80="","",申込書!A80)</f>
        <v/>
      </c>
      <c r="C20" s="1260" t="str">
        <f>IF(B20="","",IF(COUNTIF(祝日!A1:A108,B20),"祝",WEEKDAY(B20)))</f>
        <v/>
      </c>
      <c r="D20" s="248" t="str">
        <f>IF(OR(申込書!H80="",申込書!H80="（会議室選択）"),"",申込書!H80)</f>
        <v/>
      </c>
      <c r="E20" s="248" t="str">
        <f>IF(OR(申込書!N80="",申込書!N80="（会議室選択）"),"",申込書!N80)</f>
        <v/>
      </c>
      <c r="F20" s="248" t="str">
        <f>IF(OR(申込書!T80="",申込書!T80="（会議室選択）"),"",申込書!T80)</f>
        <v/>
      </c>
      <c r="G20" s="324" t="str">
        <f>IF(OR(申込書!Z80="",申込書!Z80="（使用時間選択・午前使用の施設に適用）"),"",申込書!Z80)</f>
        <v/>
      </c>
      <c r="H20" s="244"/>
      <c r="I20" s="195"/>
      <c r="K20" s="1014"/>
      <c r="L20" s="209" t="str">
        <f>D20</f>
        <v/>
      </c>
      <c r="M20" s="209" t="str">
        <f>E20</f>
        <v/>
      </c>
      <c r="N20" s="209" t="str">
        <f>F20</f>
        <v/>
      </c>
      <c r="O20" s="210" t="str">
        <f>G20</f>
        <v/>
      </c>
      <c r="P20" s="211"/>
    </row>
    <row r="21" spans="1:16" ht="18.75" customHeight="1">
      <c r="A21" s="998"/>
      <c r="B21" s="1248"/>
      <c r="C21" s="1260"/>
      <c r="D21" s="251" t="str">
        <f>IF(D20="","",VLOOKUP(判定表!G30,料金!$E$1:$W$59,7,FALSE)*判定表!G29)</f>
        <v/>
      </c>
      <c r="E21" s="251" t="str">
        <f>IF(E20="","",VLOOKUP(判定表!I30,料金!$E$1:$W$59,8,FALSE)*判定表!I29)</f>
        <v/>
      </c>
      <c r="F21" s="251" t="str">
        <f>IF(F20="","",VLOOKUP(判定表!J30,料金!$E$1:$W$59,9,FALSE)*判定表!J29)</f>
        <v/>
      </c>
      <c r="G21" s="323" t="str">
        <f>IF(D20="","",IF(G20="7:30～9:30",VLOOKUP(判定表!K30,料金!$E$1:$W$59,14,FALSE)*判定表!G29,IF(G20="8:00～9:30",VLOOKUP(判定表!K30,料金!$E$1:$W$59,15,FALSE)*判定表!G29,IF(G20="8:30～9:30",VLOOKUP(判定表!K30,料金!$E$1:$W$59,16,FALSE)*判定表!G29,""))))</f>
        <v/>
      </c>
      <c r="H21" s="247">
        <f>SUM(D21:G21)</f>
        <v>0</v>
      </c>
      <c r="I21" s="336"/>
      <c r="K21" s="1014"/>
      <c r="L21" s="212" t="str">
        <f>IF(L20="","",VLOOKUP(判定表!M30,料金!$E$1:$W$59,7,FALSE)*判定表!M29)</f>
        <v/>
      </c>
      <c r="M21" s="212" t="str">
        <f>IF(M20="","",VLOOKUP(判定表!O30,料金!$E$1:$W$59,8,FALSE)*判定表!O29)</f>
        <v/>
      </c>
      <c r="N21" s="212" t="str">
        <f>IF(N20="","",VLOOKUP(判定表!P30,料金!$E$1:$W$59,9,FALSE)*判定表!P29)</f>
        <v/>
      </c>
      <c r="O21" s="213" t="str">
        <f>IF(L20="","",IF(O20="7:30～9:30",VLOOKUP(判定表!Q30,料金!$E$1:$W$59,14,FALSE)*判定表!M29,IF(O20="8:00～9:30",VLOOKUP(判定表!Q30,料金!$E$1:$W$59,15,FALSE)*判定表!M29,IF(O20="8:30～9:30",VLOOKUP(判定表!Q30,料金!$E$1:$W$59,16,FALSE)*判定表!M29,""))))</f>
        <v/>
      </c>
      <c r="P21" s="214">
        <f>SUM(L21:O21)</f>
        <v>0</v>
      </c>
    </row>
    <row r="22" spans="1:16">
      <c r="A22" s="998"/>
      <c r="B22" s="1249" t="str">
        <f>IF(申込書!A82="","",申込書!A82)</f>
        <v/>
      </c>
      <c r="C22" s="993" t="str">
        <f>IF(B22="","",IF(COUNTIF(祝日!A1:A108,B22),"祝",WEEKDAY(B22)))</f>
        <v/>
      </c>
      <c r="D22" s="242" t="str">
        <f>IF(OR(申込書!H82="",申込書!H82="（会議室選択）"),"",申込書!H82)</f>
        <v/>
      </c>
      <c r="E22" s="242" t="str">
        <f>IF(OR(申込書!N82="",申込書!N82="（会議室選択）"),"",申込書!N82)</f>
        <v/>
      </c>
      <c r="F22" s="242" t="str">
        <f>IF(OR(申込書!T82="",申込書!T82="（会議室選択）"),"",申込書!T82)</f>
        <v/>
      </c>
      <c r="G22" s="243" t="str">
        <f>IF(OR(申込書!Z82="",申込書!Z82="（使用時間選択・午前使用の施設に適用）"),"",申込書!Z82)</f>
        <v/>
      </c>
      <c r="H22" s="250"/>
      <c r="I22" s="195"/>
      <c r="K22" s="1014"/>
      <c r="L22" s="217" t="str">
        <f>D22</f>
        <v/>
      </c>
      <c r="M22" s="215" t="str">
        <f>E22</f>
        <v/>
      </c>
      <c r="N22" s="215" t="str">
        <f>F22</f>
        <v/>
      </c>
      <c r="O22" s="216" t="str">
        <f>G22</f>
        <v/>
      </c>
      <c r="P22" s="218"/>
    </row>
    <row r="23" spans="1:16" ht="18.75" customHeight="1" thickBot="1">
      <c r="A23" s="999"/>
      <c r="B23" s="1255"/>
      <c r="C23" s="994"/>
      <c r="D23" s="257" t="str">
        <f>IF(D22="","",VLOOKUP(判定表!G32,料金!$E$1:$W$59,7,FALSE)*判定表!G31)</f>
        <v/>
      </c>
      <c r="E23" s="257" t="str">
        <f>IF(E22="","",VLOOKUP(判定表!I32,料金!$E$1:$W$59,8,FALSE)*判定表!I31)</f>
        <v/>
      </c>
      <c r="F23" s="257" t="str">
        <f>IF(F22="","",VLOOKUP(判定表!J32,料金!$E$1:$W$59,9,FALSE)*判定表!J31)</f>
        <v/>
      </c>
      <c r="G23" s="258" t="str">
        <f>IF(D22="","",IF(G22="7:30～9:30",VLOOKUP(判定表!K32,料金!$E$1:$W$59,14,FALSE)*判定表!G31,IF(G22="8:00～9:30",VLOOKUP(判定表!K32,料金!$E$1:$W$59,15,FALSE)*判定表!G31,IF(G22="8:30～9:30",VLOOKUP(判定表!K32,料金!$E$1:$W$59,16,FALSE)*判定表!G31,""))))</f>
        <v/>
      </c>
      <c r="H23" s="259">
        <f>SUM(D23:G23)</f>
        <v>0</v>
      </c>
      <c r="I23" s="336"/>
      <c r="K23" s="1015"/>
      <c r="L23" s="229" t="str">
        <f>IF(L22="","",VLOOKUP(判定表!M32,料金!$E$1:$W$59,7,FALSE)*判定表!M31)</f>
        <v/>
      </c>
      <c r="M23" s="226" t="str">
        <f>IF(M22="","",VLOOKUP(判定表!O32,料金!$E$1:$W$59,8,FALSE)*判定表!O31)</f>
        <v/>
      </c>
      <c r="N23" s="226" t="str">
        <f>IF(N22="","",VLOOKUP(判定表!P32,料金!$E$1:$W$59,9,FALSE)*判定表!P31)</f>
        <v/>
      </c>
      <c r="O23" s="227" t="str">
        <f>IF(L22="","",IF(O22="7:30～9:30",VLOOKUP(判定表!Q32,料金!$E$1:$W$59,14,FALSE)*判定表!M31,IF(O22="8:00～9:30",VLOOKUP(判定表!Q32,料金!$E$1:$W$59,15,FALSE)*判定表!M31,IF(O22="8:30～9:30",VLOOKUP(判定表!Q32,料金!$E$1:$W$59,16,FALSE)*判定表!M31,""))))</f>
        <v/>
      </c>
      <c r="P23" s="228">
        <f>SUM(L23:O23)</f>
        <v>0</v>
      </c>
    </row>
    <row r="24" spans="1:16">
      <c r="A24" s="997" t="s">
        <v>6</v>
      </c>
      <c r="B24" s="1247" t="str">
        <f>IF(申込書!A76="","",IF(OR(申込書!AL78=TRUE,申込書!AM78=TRUE,申込書!AN78=TRUE),申込書!A76,""))</f>
        <v/>
      </c>
      <c r="C24" s="1004" t="str">
        <f>IF(B24="","",IF(COUNTIF(祝日!A1:A108,B24),"祝",WEEKDAY(B24)))</f>
        <v/>
      </c>
      <c r="D24" s="330"/>
      <c r="E24" s="330"/>
      <c r="F24" s="330"/>
      <c r="G24" s="260" t="str">
        <f>IF(申込書!AP78=TRUE,申込書!Z76,"")</f>
        <v/>
      </c>
      <c r="H24" s="256"/>
      <c r="I24" s="195"/>
      <c r="K24" s="1013" t="s">
        <v>6</v>
      </c>
      <c r="L24" s="223"/>
      <c r="M24" s="223"/>
      <c r="N24" s="223"/>
      <c r="O24" s="224" t="str">
        <f>G24</f>
        <v/>
      </c>
      <c r="P24" s="225"/>
    </row>
    <row r="25" spans="1:16" ht="18.75" customHeight="1">
      <c r="A25" s="998"/>
      <c r="B25" s="1248"/>
      <c r="C25" s="1260"/>
      <c r="D25" s="245" t="str">
        <f>IF(判定表!G36="","",VLOOKUP(判定表!G36,料金!$E$1:$W$59,7,FALSE))</f>
        <v/>
      </c>
      <c r="E25" s="245" t="str">
        <f>IF(判定表!I36="","",VLOOKUP(判定表!I36,料金!$E$1:$W$59,8,FALSE))</f>
        <v/>
      </c>
      <c r="F25" s="245" t="str">
        <f>IF(判定表!J36="","",VLOOKUP(判定表!J36,料金!$E$1:$W$59,9,FALSE))</f>
        <v/>
      </c>
      <c r="G25" s="246" t="str">
        <f>IF(申込書!AP78=TRUE,IF(G24="7:30～9:30",VLOOKUP(判定表!K36,料金!$E$1:$W$59,14,FALSE),IF(G24="8:00～9:30",VLOOKUP(判定表!K36,料金!$E$1:$W$59,15,FALSE),IF(G24="8:30～9:30",VLOOKUP(判定表!K36,料金!$E$1:$W$59,16,FALSE)))),"")</f>
        <v/>
      </c>
      <c r="H25" s="247">
        <f>SUM(D25:G25)</f>
        <v>0</v>
      </c>
      <c r="I25" s="336"/>
      <c r="K25" s="1014"/>
      <c r="L25" s="212" t="str">
        <f>IF(判定表!M36="","",VLOOKUP(判定表!M36,料金!$E$1:$W$59,7,FALSE))</f>
        <v/>
      </c>
      <c r="M25" s="212" t="str">
        <f>IF(判定表!O36="","",VLOOKUP(判定表!O36,料金!$E$1:$W$59,8,FALSE))</f>
        <v/>
      </c>
      <c r="N25" s="212" t="str">
        <f>IF(判定表!P36="","",VLOOKUP(判定表!P36,料金!$E$1:$W$59,9,FALSE))</f>
        <v/>
      </c>
      <c r="O25" s="213" t="str">
        <f>IF(申込書!AP78=TRUE,IF(O24="7:30～9:30",VLOOKUP(判定表!Q36,料金!$E$1:$W$59,14,FALSE),IF(O24="8:00～9:30",VLOOKUP(判定表!Q36,料金!$E$1:$W$59,15,FALSE),IF(O24="8:30～9:30",VLOOKUP(判定表!Q36,料金!$E$1:$W$59,16,FALSE)))),"")</f>
        <v/>
      </c>
      <c r="P25" s="214">
        <f>SUM(L25:O25)</f>
        <v>0</v>
      </c>
    </row>
    <row r="26" spans="1:16">
      <c r="A26" s="998"/>
      <c r="B26" s="1249" t="str">
        <f>IF(申込書!A78="","",IF(OR(申込書!AL80=TRUE,申込書!AM80=TRUE,申込書!AN80=TRUE),申込書!A78,""))</f>
        <v/>
      </c>
      <c r="C26" s="993" t="str">
        <f>IF(B26="","",IF(COUNTIF(祝日!A1:A108,B26),"祝",WEEKDAY(B26)))</f>
        <v/>
      </c>
      <c r="D26" s="261"/>
      <c r="E26" s="261"/>
      <c r="F26" s="261"/>
      <c r="G26" s="262" t="str">
        <f>IF(申込書!AP80=TRUE,申込書!Z78,"")</f>
        <v/>
      </c>
      <c r="H26" s="250"/>
      <c r="I26" s="195"/>
      <c r="K26" s="1014"/>
      <c r="L26" s="215"/>
      <c r="M26" s="215"/>
      <c r="N26" s="215"/>
      <c r="O26" s="216" t="str">
        <f>G26</f>
        <v/>
      </c>
      <c r="P26" s="218"/>
    </row>
    <row r="27" spans="1:16" ht="18.75" customHeight="1">
      <c r="A27" s="998"/>
      <c r="B27" s="1250"/>
      <c r="C27" s="1003"/>
      <c r="D27" s="251" t="str">
        <f>IF(判定表!G38="","",VLOOKUP(判定表!G38,料金!$E$1:$W$59,7,FALSE))</f>
        <v/>
      </c>
      <c r="E27" s="251" t="str">
        <f>IF(判定表!I38="","",VLOOKUP(判定表!I38,料金!$E$1:$W$59,8,FALSE))</f>
        <v/>
      </c>
      <c r="F27" s="251" t="str">
        <f>IF(判定表!J38="","",VLOOKUP(判定表!J38,料金!$E$1:$W$59,9,FALSE))</f>
        <v/>
      </c>
      <c r="G27" s="252" t="str">
        <f>IF(申込書!AP80=TRUE,IF(G26="7:30～9:30",VLOOKUP(判定表!K38,料金!$E$1:$W$59,14,FALSE),IF(G26="8:00～9:30",VLOOKUP(判定表!K38,料金!$E$1:$W$59,15,FALSE),IF(G26="8:30～9:30",VLOOKUP(判定表!K38,料金!$E$1:$W$59,16,FALSE)))),"")</f>
        <v/>
      </c>
      <c r="H27" s="253">
        <f>SUM(D27:G27)</f>
        <v>0</v>
      </c>
      <c r="I27" s="336"/>
      <c r="K27" s="1014"/>
      <c r="L27" s="219" t="str">
        <f>IF(判定表!M38="","",VLOOKUP(判定表!M38,料金!$E$1:$W$59,7,FALSE))</f>
        <v/>
      </c>
      <c r="M27" s="219" t="str">
        <f>IF(判定表!O38="","",VLOOKUP(判定表!O38,料金!$E$1:$W$59,8,FALSE))</f>
        <v/>
      </c>
      <c r="N27" s="219" t="str">
        <f>IF(判定表!P38="","",VLOOKUP(判定表!P38,料金!$E$1:$W$59,9,FALSE))</f>
        <v/>
      </c>
      <c r="O27" s="220" t="str">
        <f>IF(申込書!AP80=TRUE,IF(O26="7:30～9:30",VLOOKUP(判定表!Q38,料金!$E$1:$W$59,14,FALSE),IF(G26="8:00～9:30",VLOOKUP(判定表!Q38,料金!$E$1:$W$59,15,FALSE),IF(G26="8:30～9:30",VLOOKUP(判定表!Q38,料金!$E$1:$W$59,16,FALSE)))),"")</f>
        <v/>
      </c>
      <c r="P27" s="221">
        <f>SUM(L27:O27)</f>
        <v>0</v>
      </c>
    </row>
    <row r="28" spans="1:16">
      <c r="A28" s="998"/>
      <c r="B28" s="1249" t="str">
        <f>IF(申込書!A80="","",IF(OR(申込書!AL82=TRUE,申込書!AM82=TRUE,申込書!AN82=TRUE),申込書!A80,""))</f>
        <v/>
      </c>
      <c r="C28" s="993" t="str">
        <f>IF(B28="","",IF(COUNTIF(祝日!A1:A108,B28),"祝",WEEKDAY(B28)))</f>
        <v/>
      </c>
      <c r="D28" s="261"/>
      <c r="E28" s="261"/>
      <c r="F28" s="261"/>
      <c r="G28" s="262" t="str">
        <f>IF(申込書!AP82=TRUE,申込書!Z80,"")</f>
        <v/>
      </c>
      <c r="H28" s="250"/>
      <c r="I28" s="195"/>
      <c r="K28" s="1014"/>
      <c r="L28" s="215"/>
      <c r="M28" s="215"/>
      <c r="N28" s="215"/>
      <c r="O28" s="216" t="str">
        <f>G28</f>
        <v/>
      </c>
      <c r="P28" s="218"/>
    </row>
    <row r="29" spans="1:16" ht="18.75" customHeight="1">
      <c r="A29" s="998"/>
      <c r="B29" s="1250"/>
      <c r="C29" s="1003"/>
      <c r="D29" s="251" t="str">
        <f>IF(判定表!G40="","",VLOOKUP(判定表!G40,料金!$E$1:$W$59,7,FALSE))</f>
        <v/>
      </c>
      <c r="E29" s="251" t="str">
        <f>IF(判定表!I40="","",VLOOKUP(判定表!I40,料金!$E$1:$W$59,8,FALSE))</f>
        <v/>
      </c>
      <c r="F29" s="251" t="str">
        <f>IF(判定表!J40="","",VLOOKUP(判定表!J40,料金!$E$1:$W$59,9,FALSE))</f>
        <v/>
      </c>
      <c r="G29" s="252" t="str">
        <f>IF(申込書!AP82=TRUE,IF(G28="7:30～9:30",VLOOKUP(判定表!K40,料金!$E$1:$W$59,14,FALSE),IF(G28="8:00～9:30",VLOOKUP(判定表!K40,料金!$E$1:$W$59,15,FALSE),IF(G28="8:30～9:30",VLOOKUP(判定表!K40,料金!$E$1:$W$59,16,FALSE)))),"")</f>
        <v/>
      </c>
      <c r="H29" s="253">
        <f>SUM(D29:G29)</f>
        <v>0</v>
      </c>
      <c r="I29" s="336"/>
      <c r="K29" s="1014"/>
      <c r="L29" s="219" t="str">
        <f>IF(判定表!M40="","",VLOOKUP(判定表!M40,料金!$E$1:$W$59,7,FALSE))</f>
        <v/>
      </c>
      <c r="M29" s="219" t="str">
        <f>IF(判定表!O40="","",VLOOKUP(判定表!O40,料金!$E$1:$W$59,8,FALSE))</f>
        <v/>
      </c>
      <c r="N29" s="219" t="str">
        <f>IF(判定表!P40="","",VLOOKUP(判定表!P40,料金!$E$1:$W$59,9,FALSE))</f>
        <v/>
      </c>
      <c r="O29" s="220" t="str">
        <f>IF(申込書!AP82=TRUE,IF(O28="7:30～9:30",VLOOKUP(判定表!Q40,料金!$E$1:$W$59,14,FALSE),IF(O28="8:00～9:30",VLOOKUP(判定表!Q40,料金!$E$1:$W$59,15,FALSE),IF(G28="8:30～9:30",VLOOKUP(判定表!Q40,料金!$E$1:$W$59,16,FALSE)))),"")</f>
        <v/>
      </c>
      <c r="P29" s="221">
        <f>SUM(L29:O29)</f>
        <v>0</v>
      </c>
    </row>
    <row r="30" spans="1:16">
      <c r="A30" s="998"/>
      <c r="B30" s="1249" t="str">
        <f>IF(申込書!A82="","",IF(OR(申込書!AL84=TRUE,申込書!AM84=TRUE,申込書!AN84=TRUE),申込書!A82,""))</f>
        <v/>
      </c>
      <c r="C30" s="993" t="str">
        <f>IF(B30="","",IF(COUNTIF(祝日!A1:A108,B30),"祝",WEEKDAY(B30)))</f>
        <v/>
      </c>
      <c r="D30" s="261"/>
      <c r="E30" s="261"/>
      <c r="F30" s="261"/>
      <c r="G30" s="262" t="str">
        <f>IF(申込書!AP84=TRUE,申込書!Z82,"")</f>
        <v/>
      </c>
      <c r="H30" s="250"/>
      <c r="I30" s="195"/>
      <c r="K30" s="1014"/>
      <c r="L30" s="215"/>
      <c r="M30" s="215"/>
      <c r="N30" s="215"/>
      <c r="O30" s="216" t="str">
        <f>G30</f>
        <v/>
      </c>
      <c r="P30" s="218"/>
    </row>
    <row r="31" spans="1:16" ht="18.75" customHeight="1" thickBot="1">
      <c r="A31" s="998"/>
      <c r="B31" s="1250"/>
      <c r="C31" s="1260"/>
      <c r="D31" s="245" t="str">
        <f>IF(判定表!G42="","",VLOOKUP(判定表!G42,料金!$E$1:$W$59,7,FALSE))</f>
        <v/>
      </c>
      <c r="E31" s="245" t="str">
        <f>IF(判定表!I42="","",VLOOKUP(判定表!I42,料金!$E$1:$W$59,8,FALSE))</f>
        <v/>
      </c>
      <c r="F31" s="245" t="str">
        <f>IF(判定表!J42="","",VLOOKUP(判定表!J42,料金!$E$1:$W$59,9,FALSE))</f>
        <v/>
      </c>
      <c r="G31" s="252" t="str">
        <f>IF(申込書!AP84=TRUE,IF(G30="7:30～9:30",VLOOKUP(判定表!K42,料金!$E$1:$W$59,14,FALSE),IF(G30="8:00～9:30",VLOOKUP(判定表!K42,料金!$E$1:$W$59,15,FALSE),IF(G30="8:30～9:30",VLOOKUP(判定表!K42,料金!$E$1:$W$59,16,FALSE)))),"")</f>
        <v/>
      </c>
      <c r="H31" s="247">
        <f>SUM(D31:G31)</f>
        <v>0</v>
      </c>
      <c r="I31" s="336"/>
      <c r="K31" s="1014"/>
      <c r="L31" s="212" t="str">
        <f>IF(判定表!M42="","",VLOOKUP(判定表!M42,料金!$E$1:$W$59,7,FALSE))</f>
        <v/>
      </c>
      <c r="M31" s="212" t="str">
        <f>IF(判定表!O42="","",VLOOKUP(判定表!O42,料金!$E$1:$W$59,8,FALSE))</f>
        <v/>
      </c>
      <c r="N31" s="212" t="str">
        <f>IF(判定表!P42="","",VLOOKUP(判定表!P42,料金!$E$1:$W$59,9,FALSE))</f>
        <v/>
      </c>
      <c r="O31" s="213" t="str">
        <f>IF(申込書!AP84=TRUE,IF(O30="7:30～9:30",VLOOKUP(判定表!Q42,料金!$E$1:$W$59,14,FALSE),IF(O30="8:00～9:30",VLOOKUP(判定表!Q42,料金!$E$1:$W$59,15,FALSE),IF(O30="8:30～9:30",VLOOKUP(判定表!Q42,料金!$E$1:$W$59,16,FALSE)))),"")</f>
        <v/>
      </c>
      <c r="P31" s="214">
        <f>SUM(L31:O31)</f>
        <v>0</v>
      </c>
    </row>
    <row r="32" spans="1:16" ht="18.75" customHeight="1" thickBot="1">
      <c r="A32" s="1010" t="s">
        <v>187</v>
      </c>
      <c r="B32" s="1011"/>
      <c r="C32" s="1012"/>
      <c r="D32" s="263" t="s">
        <v>186</v>
      </c>
      <c r="E32" s="263" t="s">
        <v>186</v>
      </c>
      <c r="F32" s="263" t="s">
        <v>186</v>
      </c>
      <c r="G32" s="264" t="s">
        <v>186</v>
      </c>
      <c r="H32" s="265">
        <f>付帯設備備品使用申込書!AG53</f>
        <v>0</v>
      </c>
      <c r="I32" s="336"/>
      <c r="K32" s="233" t="s">
        <v>190</v>
      </c>
      <c r="L32" s="230" t="s">
        <v>186</v>
      </c>
      <c r="M32" s="230" t="s">
        <v>186</v>
      </c>
      <c r="N32" s="230" t="s">
        <v>186</v>
      </c>
      <c r="O32" s="231" t="s">
        <v>186</v>
      </c>
      <c r="P32" s="232">
        <f>H32</f>
        <v>0</v>
      </c>
    </row>
    <row r="33" spans="1:16" ht="33" customHeight="1" thickTop="1" thickBot="1">
      <c r="A33" s="1005" t="s">
        <v>151</v>
      </c>
      <c r="B33" s="1006"/>
      <c r="C33" s="1006"/>
      <c r="D33" s="266">
        <f>SUM(D9,D11,D13,D15,D17,D19,D21,D23,D25,D27,D29,D31)</f>
        <v>0</v>
      </c>
      <c r="E33" s="266">
        <f t="shared" ref="E33:G33" si="0">SUM(E9,E11,E13,E15,E17,E19,E21,E23,E25,E27,E29,E31)</f>
        <v>0</v>
      </c>
      <c r="F33" s="267">
        <f t="shared" si="0"/>
        <v>0</v>
      </c>
      <c r="G33" s="268">
        <f t="shared" si="0"/>
        <v>0</v>
      </c>
      <c r="H33" s="269">
        <f>SUM(H9,H11,H13,H15,H17,H19,H21,H23,H25,H27,H29,H31,H32)</f>
        <v>0</v>
      </c>
      <c r="I33" s="337"/>
      <c r="K33" s="235" t="s">
        <v>151</v>
      </c>
      <c r="L33" s="236">
        <f>SUM(L9,L11,L13,L15,L17,L19,L21,L23,L25,L27,L29,L31)</f>
        <v>0</v>
      </c>
      <c r="M33" s="236">
        <f t="shared" ref="M33:O33" si="1">SUM(M9,M11,M13,M15,M17,M19,M21,M23,M25,M27,M29,M31)</f>
        <v>0</v>
      </c>
      <c r="N33" s="237">
        <f t="shared" si="1"/>
        <v>0</v>
      </c>
      <c r="O33" s="238">
        <f t="shared" si="1"/>
        <v>0</v>
      </c>
      <c r="P33" s="234">
        <f>SUM(P9,P11,P13,P15,P17,P19,P21,P23,P25,P27,P29,P31,P32)</f>
        <v>0</v>
      </c>
    </row>
    <row r="34" spans="1:16">
      <c r="A34" s="374" t="s">
        <v>375</v>
      </c>
      <c r="B34" s="143"/>
      <c r="C34" s="143"/>
      <c r="D34" s="143"/>
      <c r="E34" s="143"/>
      <c r="F34" s="143"/>
      <c r="G34" s="143"/>
      <c r="H34" s="375" t="s">
        <v>376</v>
      </c>
      <c r="I34" s="143"/>
    </row>
    <row r="35" spans="1:16">
      <c r="A35" s="143"/>
      <c r="B35" s="143"/>
      <c r="C35" s="143"/>
      <c r="D35" s="143"/>
      <c r="E35" s="143"/>
      <c r="F35" s="143"/>
      <c r="G35" s="143"/>
      <c r="H35" s="143"/>
      <c r="I35" s="143"/>
    </row>
    <row r="36" spans="1:16">
      <c r="A36" s="143"/>
      <c r="B36" s="143"/>
      <c r="C36" s="143"/>
      <c r="D36" s="143"/>
      <c r="E36" s="143"/>
      <c r="F36" s="143"/>
      <c r="G36" s="143"/>
      <c r="H36" s="143"/>
      <c r="I36" s="143"/>
    </row>
    <row r="37" spans="1:16">
      <c r="A37" s="143"/>
      <c r="B37" s="143"/>
      <c r="C37" s="143"/>
      <c r="D37" s="143"/>
      <c r="E37" s="143"/>
      <c r="F37" s="143"/>
      <c r="G37" s="143"/>
      <c r="H37" s="143"/>
      <c r="I37" s="143"/>
    </row>
    <row r="38" spans="1:16">
      <c r="A38" s="143"/>
      <c r="B38" s="143"/>
      <c r="C38" s="143"/>
      <c r="D38" s="143"/>
      <c r="E38" s="143"/>
      <c r="F38" s="143"/>
      <c r="G38" s="143"/>
      <c r="H38" s="143"/>
      <c r="I38" s="143"/>
    </row>
    <row r="39" spans="1:16" ht="12.75" thickBot="1"/>
    <row r="40" spans="1:16" ht="24" customHeight="1" thickBot="1">
      <c r="F40" s="1000" t="s">
        <v>188</v>
      </c>
      <c r="G40" s="1001"/>
      <c r="H40" s="239">
        <f>SUM(H9,H11,H13,H15,H17,H19,H21,H23,H25,H27,H29,H31)</f>
        <v>0</v>
      </c>
      <c r="N40" s="1007" t="s">
        <v>188</v>
      </c>
      <c r="O40" s="1008"/>
      <c r="P40" s="239">
        <f>SUM(P9,P11,P13,P15,P17,P19,P21,P23,P25,P27,P29,P31)</f>
        <v>0</v>
      </c>
    </row>
  </sheetData>
  <mergeCells count="42">
    <mergeCell ref="A3:H4"/>
    <mergeCell ref="K5:P5"/>
    <mergeCell ref="A6:C7"/>
    <mergeCell ref="G6:G7"/>
    <mergeCell ref="H6:H7"/>
    <mergeCell ref="K6:K7"/>
    <mergeCell ref="O6:O7"/>
    <mergeCell ref="P6:P7"/>
    <mergeCell ref="A8:A15"/>
    <mergeCell ref="B8:B9"/>
    <mergeCell ref="C8:C9"/>
    <mergeCell ref="K8:K15"/>
    <mergeCell ref="B10:B11"/>
    <mergeCell ref="C10:C11"/>
    <mergeCell ref="B12:B13"/>
    <mergeCell ref="C12:C13"/>
    <mergeCell ref="B14:B15"/>
    <mergeCell ref="C14:C15"/>
    <mergeCell ref="A16:A23"/>
    <mergeCell ref="B16:B17"/>
    <mergeCell ref="C16:C17"/>
    <mergeCell ref="K16:K23"/>
    <mergeCell ref="B18:B19"/>
    <mergeCell ref="C18:C19"/>
    <mergeCell ref="B20:B21"/>
    <mergeCell ref="C20:C21"/>
    <mergeCell ref="B22:B23"/>
    <mergeCell ref="C22:C23"/>
    <mergeCell ref="A32:C32"/>
    <mergeCell ref="A33:C33"/>
    <mergeCell ref="F40:G40"/>
    <mergeCell ref="N40:O40"/>
    <mergeCell ref="A24:A31"/>
    <mergeCell ref="B24:B25"/>
    <mergeCell ref="C24:C25"/>
    <mergeCell ref="K24:K31"/>
    <mergeCell ref="B26:B27"/>
    <mergeCell ref="C26:C27"/>
    <mergeCell ref="B28:B29"/>
    <mergeCell ref="C28:C29"/>
    <mergeCell ref="B30:B31"/>
    <mergeCell ref="C30:C31"/>
  </mergeCells>
  <phoneticPr fontId="4"/>
  <dataValidations disablePrompts="1" count="1">
    <dataValidation type="list" allowBlank="1" showInputMessage="1" showErrorMessage="1" sqref="L2" xr:uid="{00000000-0002-0000-1000-000000000000}">
      <formula1>"○,×,◎"</formula1>
    </dataValidation>
  </dataValidations>
  <pageMargins left="0.51181102362204722" right="0.5118110236220472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
  <dimension ref="A1:W61"/>
  <sheetViews>
    <sheetView workbookViewId="0">
      <selection activeCell="H26" sqref="A23:AJ43"/>
    </sheetView>
  </sheetViews>
  <sheetFormatPr defaultColWidth="9" defaultRowHeight="12"/>
  <cols>
    <col min="1" max="4" width="4.75" style="14" customWidth="1"/>
    <col min="5" max="5" width="5.375" style="14" bestFit="1" customWidth="1"/>
    <col min="6" max="6" width="3" style="1" customWidth="1"/>
    <col min="7" max="7" width="19" style="1" customWidth="1"/>
    <col min="8" max="8" width="8.25" style="1" customWidth="1"/>
    <col min="9" max="9" width="14" style="1" customWidth="1"/>
    <col min="10" max="10" width="9.125" style="1" bestFit="1" customWidth="1"/>
    <col min="11" max="17" width="10.75" style="1" customWidth="1"/>
    <col min="18" max="20" width="9" style="1"/>
    <col min="21" max="22" width="11" style="1" bestFit="1" customWidth="1"/>
    <col min="23" max="16384" width="9" style="1"/>
  </cols>
  <sheetData>
    <row r="1" spans="1:23" s="14" customFormat="1" ht="12.75" thickBot="1">
      <c r="E1" s="14">
        <v>1</v>
      </c>
      <c r="F1" s="14">
        <v>2</v>
      </c>
      <c r="G1" s="14">
        <v>3</v>
      </c>
      <c r="H1" s="14">
        <v>4</v>
      </c>
      <c r="I1" s="14">
        <v>5</v>
      </c>
      <c r="J1" s="14">
        <v>6</v>
      </c>
      <c r="K1" s="14">
        <v>7</v>
      </c>
      <c r="L1" s="14">
        <v>8</v>
      </c>
      <c r="M1" s="14">
        <v>9</v>
      </c>
      <c r="N1" s="14">
        <v>10</v>
      </c>
      <c r="O1" s="14">
        <v>11</v>
      </c>
      <c r="P1" s="14">
        <v>12</v>
      </c>
      <c r="Q1" s="14">
        <v>13</v>
      </c>
      <c r="R1" s="14">
        <v>14</v>
      </c>
      <c r="S1" s="14">
        <v>15</v>
      </c>
      <c r="T1" s="14">
        <v>16</v>
      </c>
      <c r="U1" s="14">
        <v>17</v>
      </c>
      <c r="V1" s="14">
        <v>18</v>
      </c>
      <c r="W1" s="14">
        <v>19</v>
      </c>
    </row>
    <row r="2" spans="1:23" s="14" customFormat="1">
      <c r="H2" s="35"/>
      <c r="I2" s="35"/>
      <c r="J2" s="35"/>
      <c r="K2" s="43" t="s">
        <v>70</v>
      </c>
      <c r="L2" s="36" t="s">
        <v>71</v>
      </c>
      <c r="M2" s="36" t="s">
        <v>72</v>
      </c>
      <c r="N2" s="36" t="s">
        <v>68</v>
      </c>
      <c r="O2" s="36" t="s">
        <v>73</v>
      </c>
      <c r="P2" s="36" t="s">
        <v>119</v>
      </c>
      <c r="Q2" s="36" t="s">
        <v>69</v>
      </c>
      <c r="R2" s="1663" t="s">
        <v>91</v>
      </c>
      <c r="S2" s="1664"/>
      <c r="T2" s="1664"/>
      <c r="U2" s="1665" t="s">
        <v>117</v>
      </c>
      <c r="V2" s="1667" t="s">
        <v>118</v>
      </c>
      <c r="W2" s="37" t="s">
        <v>92</v>
      </c>
    </row>
    <row r="3" spans="1:23" s="14" customFormat="1" ht="12.75" thickBot="1">
      <c r="H3" s="38"/>
      <c r="I3" s="38"/>
      <c r="J3" s="38"/>
      <c r="K3" s="44" t="s">
        <v>51</v>
      </c>
      <c r="L3" s="39" t="s">
        <v>53</v>
      </c>
      <c r="M3" s="39" t="s">
        <v>55</v>
      </c>
      <c r="N3" s="39" t="s">
        <v>114</v>
      </c>
      <c r="O3" s="39" t="s">
        <v>115</v>
      </c>
      <c r="P3" s="39"/>
      <c r="Q3" s="39" t="s">
        <v>116</v>
      </c>
      <c r="R3" s="40" t="s">
        <v>93</v>
      </c>
      <c r="S3" s="41" t="s">
        <v>94</v>
      </c>
      <c r="T3" s="41" t="s">
        <v>95</v>
      </c>
      <c r="U3" s="1666"/>
      <c r="V3" s="1668"/>
      <c r="W3" s="42" t="s">
        <v>96</v>
      </c>
    </row>
    <row r="4" spans="1:23" ht="51.75" customHeight="1" thickBot="1">
      <c r="A4" s="33" t="s">
        <v>126</v>
      </c>
      <c r="B4" s="34" t="s">
        <v>159</v>
      </c>
      <c r="C4" s="34" t="s">
        <v>160</v>
      </c>
      <c r="D4" s="178" t="s">
        <v>252</v>
      </c>
      <c r="E4" s="33" t="s">
        <v>161</v>
      </c>
      <c r="F4" s="1602" t="s">
        <v>74</v>
      </c>
      <c r="G4" s="1603"/>
      <c r="H4" s="1604"/>
      <c r="I4" s="8" t="s">
        <v>75</v>
      </c>
      <c r="J4" s="22" t="s">
        <v>76</v>
      </c>
      <c r="K4" s="1600" t="s">
        <v>132</v>
      </c>
      <c r="L4" s="1601"/>
      <c r="M4" s="1601"/>
      <c r="N4" s="1601"/>
      <c r="O4" s="1601"/>
      <c r="P4" s="1601"/>
      <c r="Q4" s="1601"/>
      <c r="R4" s="1597" t="s">
        <v>133</v>
      </c>
      <c r="S4" s="1598"/>
      <c r="T4" s="1598"/>
      <c r="U4" s="1598"/>
      <c r="V4" s="1598"/>
      <c r="W4" s="1599"/>
    </row>
    <row r="5" spans="1:23" ht="12.75" customHeight="1" thickTop="1">
      <c r="A5" s="14">
        <v>1</v>
      </c>
      <c r="B5" s="14">
        <v>1</v>
      </c>
      <c r="C5" s="14">
        <v>1</v>
      </c>
      <c r="D5" s="14">
        <v>1</v>
      </c>
      <c r="E5" s="32" t="str">
        <f t="shared" ref="E5:E59" si="0">CONCATENATE(A5,B5,C5,D5)</f>
        <v>1111</v>
      </c>
      <c r="F5" s="1605" t="s">
        <v>99</v>
      </c>
      <c r="G5" s="1671" t="s">
        <v>104</v>
      </c>
      <c r="H5" s="1614" t="s">
        <v>5</v>
      </c>
      <c r="I5" s="1610" t="s">
        <v>152</v>
      </c>
      <c r="J5" s="170" t="s">
        <v>77</v>
      </c>
      <c r="K5" s="60">
        <v>47870</v>
      </c>
      <c r="L5" s="61">
        <v>89630</v>
      </c>
      <c r="M5" s="61">
        <v>93760</v>
      </c>
      <c r="N5" s="61">
        <v>137500</v>
      </c>
      <c r="O5" s="61">
        <v>183390</v>
      </c>
      <c r="P5" s="62">
        <f>K5+M5</f>
        <v>141630</v>
      </c>
      <c r="Q5" s="63">
        <v>231260</v>
      </c>
      <c r="R5" s="64">
        <v>43980</v>
      </c>
      <c r="S5" s="65">
        <v>32990</v>
      </c>
      <c r="T5" s="65">
        <v>21990</v>
      </c>
      <c r="U5" s="66">
        <v>19150</v>
      </c>
      <c r="V5" s="66">
        <v>22410</v>
      </c>
      <c r="W5" s="67">
        <v>33460</v>
      </c>
    </row>
    <row r="6" spans="1:23">
      <c r="A6" s="14">
        <v>1</v>
      </c>
      <c r="B6" s="14">
        <v>1</v>
      </c>
      <c r="C6" s="14">
        <v>2</v>
      </c>
      <c r="D6" s="14">
        <v>1</v>
      </c>
      <c r="E6" s="32" t="str">
        <f t="shared" si="0"/>
        <v>1121</v>
      </c>
      <c r="F6" s="1606"/>
      <c r="G6" s="1639"/>
      <c r="H6" s="1615"/>
      <c r="I6" s="1610"/>
      <c r="J6" s="170" t="s">
        <v>78</v>
      </c>
      <c r="K6" s="60">
        <v>58310</v>
      </c>
      <c r="L6" s="61">
        <v>107960</v>
      </c>
      <c r="M6" s="61">
        <v>110990</v>
      </c>
      <c r="N6" s="61">
        <v>166270</v>
      </c>
      <c r="O6" s="61">
        <v>218950</v>
      </c>
      <c r="P6" s="62">
        <f t="shared" ref="P6:P59" si="1">K6+M6</f>
        <v>169300</v>
      </c>
      <c r="Q6" s="63">
        <v>277260</v>
      </c>
      <c r="R6" s="68">
        <v>56520</v>
      </c>
      <c r="S6" s="2">
        <v>42390</v>
      </c>
      <c r="T6" s="2">
        <v>28260</v>
      </c>
      <c r="U6" s="3">
        <v>23320</v>
      </c>
      <c r="V6" s="3">
        <v>26990</v>
      </c>
      <c r="W6" s="9">
        <v>40840</v>
      </c>
    </row>
    <row r="7" spans="1:23">
      <c r="A7" s="14">
        <v>1</v>
      </c>
      <c r="B7" s="14">
        <v>2</v>
      </c>
      <c r="C7" s="14">
        <v>1</v>
      </c>
      <c r="D7" s="14">
        <v>1</v>
      </c>
      <c r="E7" s="32" t="str">
        <f t="shared" si="0"/>
        <v>1211</v>
      </c>
      <c r="F7" s="1606"/>
      <c r="G7" s="1639"/>
      <c r="H7" s="1615"/>
      <c r="I7" s="1610" t="s">
        <v>79</v>
      </c>
      <c r="J7" s="170" t="s">
        <v>77</v>
      </c>
      <c r="K7" s="60">
        <v>78430</v>
      </c>
      <c r="L7" s="61">
        <v>153180</v>
      </c>
      <c r="M7" s="61">
        <v>154260</v>
      </c>
      <c r="N7" s="61">
        <v>231610</v>
      </c>
      <c r="O7" s="61">
        <v>307440</v>
      </c>
      <c r="P7" s="62">
        <f t="shared" si="1"/>
        <v>232690</v>
      </c>
      <c r="Q7" s="63">
        <v>385870</v>
      </c>
      <c r="R7" s="68">
        <v>80660</v>
      </c>
      <c r="S7" s="2">
        <v>60500</v>
      </c>
      <c r="T7" s="2">
        <v>40330</v>
      </c>
      <c r="U7" s="3">
        <v>31370</v>
      </c>
      <c r="V7" s="3">
        <v>38300</v>
      </c>
      <c r="W7" s="9">
        <v>59380</v>
      </c>
    </row>
    <row r="8" spans="1:23">
      <c r="A8" s="14">
        <v>1</v>
      </c>
      <c r="B8" s="14">
        <v>2</v>
      </c>
      <c r="C8" s="14">
        <v>2</v>
      </c>
      <c r="D8" s="14">
        <v>1</v>
      </c>
      <c r="E8" s="32" t="str">
        <f t="shared" si="0"/>
        <v>1221</v>
      </c>
      <c r="F8" s="1606"/>
      <c r="G8" s="1639"/>
      <c r="H8" s="1615"/>
      <c r="I8" s="1610"/>
      <c r="J8" s="170" t="s">
        <v>78</v>
      </c>
      <c r="K8" s="60">
        <v>86580</v>
      </c>
      <c r="L8" s="61">
        <v>170300</v>
      </c>
      <c r="M8" s="61">
        <v>179190</v>
      </c>
      <c r="N8" s="61">
        <v>256880</v>
      </c>
      <c r="O8" s="61">
        <v>349490</v>
      </c>
      <c r="P8" s="62">
        <f t="shared" si="1"/>
        <v>265770</v>
      </c>
      <c r="Q8" s="63">
        <v>436070</v>
      </c>
      <c r="R8" s="68">
        <v>90440</v>
      </c>
      <c r="S8" s="2">
        <v>67830</v>
      </c>
      <c r="T8" s="2">
        <v>45220</v>
      </c>
      <c r="U8" s="3">
        <v>34630</v>
      </c>
      <c r="V8" s="3">
        <v>42580</v>
      </c>
      <c r="W8" s="9">
        <v>70070</v>
      </c>
    </row>
    <row r="9" spans="1:23">
      <c r="A9" s="14">
        <v>1</v>
      </c>
      <c r="B9" s="14">
        <v>3</v>
      </c>
      <c r="C9" s="14">
        <v>1</v>
      </c>
      <c r="D9" s="14">
        <v>1</v>
      </c>
      <c r="E9" s="32" t="str">
        <f t="shared" si="0"/>
        <v>1311</v>
      </c>
      <c r="F9" s="1606"/>
      <c r="G9" s="1639"/>
      <c r="H9" s="1615"/>
      <c r="I9" s="1610" t="s">
        <v>80</v>
      </c>
      <c r="J9" s="170" t="s">
        <v>77</v>
      </c>
      <c r="K9" s="60">
        <v>97080</v>
      </c>
      <c r="L9" s="61">
        <v>191800</v>
      </c>
      <c r="M9" s="61">
        <v>210720</v>
      </c>
      <c r="N9" s="61">
        <v>288880</v>
      </c>
      <c r="O9" s="61">
        <v>402520</v>
      </c>
      <c r="P9" s="62">
        <f t="shared" si="1"/>
        <v>307800</v>
      </c>
      <c r="Q9" s="63">
        <v>499600</v>
      </c>
      <c r="R9" s="68">
        <v>103040</v>
      </c>
      <c r="S9" s="2">
        <v>77280</v>
      </c>
      <c r="T9" s="2">
        <v>51520</v>
      </c>
      <c r="U9" s="3">
        <v>38830</v>
      </c>
      <c r="V9" s="3">
        <v>47950</v>
      </c>
      <c r="W9" s="9">
        <v>83580</v>
      </c>
    </row>
    <row r="10" spans="1:23">
      <c r="A10" s="14">
        <v>1</v>
      </c>
      <c r="B10" s="14">
        <v>3</v>
      </c>
      <c r="C10" s="14">
        <v>2</v>
      </c>
      <c r="D10" s="14">
        <v>1</v>
      </c>
      <c r="E10" s="32" t="str">
        <f t="shared" si="0"/>
        <v>1321</v>
      </c>
      <c r="F10" s="1606"/>
      <c r="G10" s="1639"/>
      <c r="H10" s="1615"/>
      <c r="I10" s="1610"/>
      <c r="J10" s="170" t="s">
        <v>78</v>
      </c>
      <c r="K10" s="60">
        <v>115420</v>
      </c>
      <c r="L10" s="61">
        <v>229930</v>
      </c>
      <c r="M10" s="61">
        <v>253990</v>
      </c>
      <c r="N10" s="61">
        <v>345350</v>
      </c>
      <c r="O10" s="61">
        <v>483920</v>
      </c>
      <c r="P10" s="62">
        <f t="shared" si="1"/>
        <v>369410</v>
      </c>
      <c r="Q10" s="63">
        <v>599340</v>
      </c>
      <c r="R10" s="68">
        <v>125040</v>
      </c>
      <c r="S10" s="2">
        <v>93780</v>
      </c>
      <c r="T10" s="2">
        <v>62520</v>
      </c>
      <c r="U10" s="3">
        <v>46170</v>
      </c>
      <c r="V10" s="3">
        <v>57480</v>
      </c>
      <c r="W10" s="9">
        <v>102130</v>
      </c>
    </row>
    <row r="11" spans="1:23">
      <c r="A11" s="14">
        <v>1</v>
      </c>
      <c r="B11" s="14">
        <v>4</v>
      </c>
      <c r="C11" s="14">
        <v>1</v>
      </c>
      <c r="D11" s="14">
        <v>1</v>
      </c>
      <c r="E11" s="32" t="str">
        <f t="shared" si="0"/>
        <v>1411</v>
      </c>
      <c r="F11" s="1606"/>
      <c r="G11" s="1639"/>
      <c r="H11" s="1615"/>
      <c r="I11" s="1610" t="s">
        <v>81</v>
      </c>
      <c r="J11" s="170" t="s">
        <v>77</v>
      </c>
      <c r="K11" s="60">
        <v>104950</v>
      </c>
      <c r="L11" s="61">
        <v>208140</v>
      </c>
      <c r="M11" s="61">
        <v>229060</v>
      </c>
      <c r="N11" s="61">
        <v>313090</v>
      </c>
      <c r="O11" s="61">
        <v>437200</v>
      </c>
      <c r="P11" s="62">
        <f t="shared" si="1"/>
        <v>334010</v>
      </c>
      <c r="Q11" s="63">
        <v>542150</v>
      </c>
      <c r="R11" s="68">
        <v>112480</v>
      </c>
      <c r="S11" s="2">
        <v>84360</v>
      </c>
      <c r="T11" s="2">
        <v>56240</v>
      </c>
      <c r="U11" s="3">
        <v>41980</v>
      </c>
      <c r="V11" s="3">
        <v>52040</v>
      </c>
      <c r="W11" s="9">
        <v>91440</v>
      </c>
    </row>
    <row r="12" spans="1:23">
      <c r="A12" s="14">
        <v>1</v>
      </c>
      <c r="B12" s="14">
        <v>4</v>
      </c>
      <c r="C12" s="14">
        <v>2</v>
      </c>
      <c r="D12" s="14">
        <v>1</v>
      </c>
      <c r="E12" s="32" t="str">
        <f t="shared" si="0"/>
        <v>1421</v>
      </c>
      <c r="F12" s="1606"/>
      <c r="G12" s="1639"/>
      <c r="H12" s="1616"/>
      <c r="I12" s="1610"/>
      <c r="J12" s="170" t="s">
        <v>78</v>
      </c>
      <c r="K12" s="60">
        <v>123280</v>
      </c>
      <c r="L12" s="61">
        <v>246260</v>
      </c>
      <c r="M12" s="61">
        <v>273060</v>
      </c>
      <c r="N12" s="61">
        <v>369540</v>
      </c>
      <c r="O12" s="61">
        <v>519320</v>
      </c>
      <c r="P12" s="62">
        <f t="shared" si="1"/>
        <v>396340</v>
      </c>
      <c r="Q12" s="63">
        <v>642600</v>
      </c>
      <c r="R12" s="68">
        <v>134480</v>
      </c>
      <c r="S12" s="2">
        <v>100860</v>
      </c>
      <c r="T12" s="2">
        <v>67240</v>
      </c>
      <c r="U12" s="3">
        <v>49310</v>
      </c>
      <c r="V12" s="3">
        <v>61570</v>
      </c>
      <c r="W12" s="9">
        <v>110300</v>
      </c>
    </row>
    <row r="13" spans="1:23" ht="12" customHeight="1">
      <c r="A13" s="14">
        <v>1</v>
      </c>
      <c r="B13" s="14">
        <v>6</v>
      </c>
      <c r="C13" s="14">
        <v>5</v>
      </c>
      <c r="D13" s="14">
        <v>6</v>
      </c>
      <c r="E13" s="32" t="str">
        <f t="shared" si="0"/>
        <v>1656</v>
      </c>
      <c r="F13" s="1606"/>
      <c r="G13" s="1639"/>
      <c r="H13" s="1610" t="s">
        <v>82</v>
      </c>
      <c r="I13" s="1610"/>
      <c r="J13" s="1611"/>
      <c r="K13" s="60">
        <v>3050</v>
      </c>
      <c r="L13" s="61">
        <v>4890</v>
      </c>
      <c r="M13" s="61">
        <v>4270</v>
      </c>
      <c r="N13" s="61">
        <v>7940</v>
      </c>
      <c r="O13" s="61">
        <v>9160</v>
      </c>
      <c r="P13" s="62">
        <f t="shared" si="1"/>
        <v>7320</v>
      </c>
      <c r="Q13" s="63">
        <v>12210</v>
      </c>
      <c r="R13" s="68">
        <v>3240</v>
      </c>
      <c r="S13" s="2">
        <v>2430</v>
      </c>
      <c r="T13" s="2">
        <v>1620</v>
      </c>
      <c r="U13" s="3">
        <v>1220</v>
      </c>
      <c r="V13" s="3">
        <v>1220</v>
      </c>
      <c r="W13" s="9">
        <v>1620</v>
      </c>
    </row>
    <row r="14" spans="1:23" ht="12.75" thickBot="1">
      <c r="A14" s="14">
        <v>1</v>
      </c>
      <c r="B14" s="14">
        <v>6</v>
      </c>
      <c r="C14" s="14">
        <v>5</v>
      </c>
      <c r="D14" s="14">
        <v>7</v>
      </c>
      <c r="E14" s="32" t="str">
        <f t="shared" si="0"/>
        <v>1657</v>
      </c>
      <c r="F14" s="1606"/>
      <c r="G14" s="1639"/>
      <c r="H14" s="1612" t="s">
        <v>83</v>
      </c>
      <c r="I14" s="1612"/>
      <c r="J14" s="1613"/>
      <c r="K14" s="69">
        <v>1520</v>
      </c>
      <c r="L14" s="70">
        <v>2450</v>
      </c>
      <c r="M14" s="70">
        <v>2140</v>
      </c>
      <c r="N14" s="70">
        <v>3970</v>
      </c>
      <c r="O14" s="70">
        <v>4590</v>
      </c>
      <c r="P14" s="62">
        <f t="shared" si="1"/>
        <v>3660</v>
      </c>
      <c r="Q14" s="71">
        <v>6110</v>
      </c>
      <c r="R14" s="72">
        <v>1620</v>
      </c>
      <c r="S14" s="73">
        <v>1220</v>
      </c>
      <c r="T14" s="73">
        <v>810</v>
      </c>
      <c r="U14" s="74">
        <v>610</v>
      </c>
      <c r="V14" s="74">
        <v>610</v>
      </c>
      <c r="W14" s="75">
        <v>820</v>
      </c>
    </row>
    <row r="15" spans="1:23" ht="12.75" customHeight="1" thickTop="1">
      <c r="A15" s="14">
        <v>1</v>
      </c>
      <c r="B15" s="14">
        <v>1</v>
      </c>
      <c r="C15" s="14">
        <v>1</v>
      </c>
      <c r="D15" s="14">
        <v>2</v>
      </c>
      <c r="E15" s="32" t="str">
        <f t="shared" si="0"/>
        <v>1112</v>
      </c>
      <c r="F15" s="1606"/>
      <c r="G15" s="1632" t="s">
        <v>105</v>
      </c>
      <c r="H15" s="1630" t="s">
        <v>86</v>
      </c>
      <c r="I15" s="1669" t="s">
        <v>100</v>
      </c>
      <c r="J15" s="23" t="s">
        <v>87</v>
      </c>
      <c r="K15" s="10">
        <v>40750</v>
      </c>
      <c r="L15" s="11">
        <v>71720</v>
      </c>
      <c r="M15" s="11">
        <v>70420</v>
      </c>
      <c r="N15" s="12">
        <v>112470</v>
      </c>
      <c r="O15" s="12">
        <v>142140</v>
      </c>
      <c r="P15" s="62">
        <f t="shared" si="1"/>
        <v>111170</v>
      </c>
      <c r="Q15" s="13">
        <v>182890</v>
      </c>
      <c r="R15" s="76">
        <v>35440</v>
      </c>
      <c r="S15" s="77">
        <v>26580</v>
      </c>
      <c r="T15" s="77">
        <v>17720</v>
      </c>
      <c r="U15" s="78">
        <v>16300</v>
      </c>
      <c r="V15" s="78">
        <v>17930</v>
      </c>
      <c r="W15" s="79">
        <v>23450</v>
      </c>
    </row>
    <row r="16" spans="1:23">
      <c r="A16" s="14">
        <v>1</v>
      </c>
      <c r="B16" s="14">
        <v>1</v>
      </c>
      <c r="C16" s="14">
        <v>2</v>
      </c>
      <c r="D16" s="14">
        <v>2</v>
      </c>
      <c r="E16" s="32" t="str">
        <f t="shared" si="0"/>
        <v>1122</v>
      </c>
      <c r="F16" s="1606"/>
      <c r="G16" s="1633"/>
      <c r="H16" s="1620"/>
      <c r="I16" s="1625"/>
      <c r="J16" s="24" t="s">
        <v>88</v>
      </c>
      <c r="K16" s="7">
        <v>45970</v>
      </c>
      <c r="L16" s="2">
        <v>80880</v>
      </c>
      <c r="M16" s="2">
        <v>79040</v>
      </c>
      <c r="N16" s="3">
        <v>126850</v>
      </c>
      <c r="O16" s="3">
        <v>159920</v>
      </c>
      <c r="P16" s="62">
        <f t="shared" si="1"/>
        <v>125010</v>
      </c>
      <c r="Q16" s="9">
        <v>205890</v>
      </c>
      <c r="R16" s="80">
        <v>41700</v>
      </c>
      <c r="S16" s="15">
        <v>31280</v>
      </c>
      <c r="T16" s="15">
        <v>20850</v>
      </c>
      <c r="U16" s="16">
        <v>18390</v>
      </c>
      <c r="V16" s="16">
        <v>20220</v>
      </c>
      <c r="W16" s="17">
        <v>27150</v>
      </c>
    </row>
    <row r="17" spans="1:23">
      <c r="A17" s="14">
        <v>1</v>
      </c>
      <c r="B17" s="14">
        <v>2</v>
      </c>
      <c r="C17" s="14">
        <v>1</v>
      </c>
      <c r="D17" s="14">
        <v>2</v>
      </c>
      <c r="E17" s="32" t="str">
        <f t="shared" si="0"/>
        <v>1212</v>
      </c>
      <c r="F17" s="1606"/>
      <c r="G17" s="1633"/>
      <c r="H17" s="1620"/>
      <c r="I17" s="1612" t="s">
        <v>101</v>
      </c>
      <c r="J17" s="24" t="s">
        <v>87</v>
      </c>
      <c r="K17" s="7">
        <v>56030</v>
      </c>
      <c r="L17" s="2">
        <v>103490</v>
      </c>
      <c r="M17" s="2">
        <v>100670</v>
      </c>
      <c r="N17" s="3">
        <v>159520</v>
      </c>
      <c r="O17" s="3">
        <v>204160</v>
      </c>
      <c r="P17" s="62">
        <f t="shared" si="1"/>
        <v>156700</v>
      </c>
      <c r="Q17" s="9">
        <v>260190</v>
      </c>
      <c r="R17" s="80">
        <v>53780</v>
      </c>
      <c r="S17" s="15">
        <v>40340</v>
      </c>
      <c r="T17" s="15">
        <v>26890</v>
      </c>
      <c r="U17" s="16">
        <v>22410</v>
      </c>
      <c r="V17" s="16">
        <v>25870</v>
      </c>
      <c r="W17" s="17">
        <v>36420</v>
      </c>
    </row>
    <row r="18" spans="1:23">
      <c r="A18" s="14">
        <v>1</v>
      </c>
      <c r="B18" s="14">
        <v>2</v>
      </c>
      <c r="C18" s="14">
        <v>2</v>
      </c>
      <c r="D18" s="14">
        <v>2</v>
      </c>
      <c r="E18" s="32" t="str">
        <f t="shared" si="0"/>
        <v>1222</v>
      </c>
      <c r="F18" s="1606"/>
      <c r="G18" s="1633"/>
      <c r="H18" s="1620"/>
      <c r="I18" s="1670"/>
      <c r="J18" s="24" t="s">
        <v>88</v>
      </c>
      <c r="K18" s="7">
        <v>60110</v>
      </c>
      <c r="L18" s="2">
        <v>112050</v>
      </c>
      <c r="M18" s="2">
        <v>113140</v>
      </c>
      <c r="N18" s="3">
        <v>172160</v>
      </c>
      <c r="O18" s="3">
        <v>225190</v>
      </c>
      <c r="P18" s="62">
        <f t="shared" si="1"/>
        <v>173250</v>
      </c>
      <c r="Q18" s="9">
        <v>285300</v>
      </c>
      <c r="R18" s="80">
        <v>58680</v>
      </c>
      <c r="S18" s="15">
        <v>44010</v>
      </c>
      <c r="T18" s="15">
        <v>29340</v>
      </c>
      <c r="U18" s="16">
        <v>24040</v>
      </c>
      <c r="V18" s="16">
        <v>28010</v>
      </c>
      <c r="W18" s="17">
        <v>41760</v>
      </c>
    </row>
    <row r="19" spans="1:23">
      <c r="A19" s="14">
        <v>1</v>
      </c>
      <c r="B19" s="14">
        <v>3</v>
      </c>
      <c r="C19" s="14">
        <v>1</v>
      </c>
      <c r="D19" s="14">
        <v>2</v>
      </c>
      <c r="E19" s="32" t="str">
        <f t="shared" si="0"/>
        <v>1312</v>
      </c>
      <c r="F19" s="1606"/>
      <c r="G19" s="1633"/>
      <c r="H19" s="1620"/>
      <c r="I19" s="1621" t="s">
        <v>102</v>
      </c>
      <c r="J19" s="24" t="s">
        <v>87</v>
      </c>
      <c r="K19" s="7">
        <v>65360</v>
      </c>
      <c r="L19" s="2">
        <v>122800</v>
      </c>
      <c r="M19" s="2">
        <v>128900</v>
      </c>
      <c r="N19" s="3">
        <v>188160</v>
      </c>
      <c r="O19" s="3">
        <v>251700</v>
      </c>
      <c r="P19" s="62">
        <f t="shared" si="1"/>
        <v>194260</v>
      </c>
      <c r="Q19" s="9">
        <v>317060</v>
      </c>
      <c r="R19" s="68">
        <v>64980</v>
      </c>
      <c r="S19" s="2">
        <v>48740</v>
      </c>
      <c r="T19" s="2">
        <v>32490</v>
      </c>
      <c r="U19" s="3">
        <v>26140</v>
      </c>
      <c r="V19" s="3">
        <v>30700</v>
      </c>
      <c r="W19" s="9">
        <v>48520</v>
      </c>
    </row>
    <row r="20" spans="1:23">
      <c r="A20" s="14">
        <v>1</v>
      </c>
      <c r="B20" s="14">
        <v>3</v>
      </c>
      <c r="C20" s="14">
        <v>2</v>
      </c>
      <c r="D20" s="14">
        <v>2</v>
      </c>
      <c r="E20" s="32" t="str">
        <f t="shared" si="0"/>
        <v>1322</v>
      </c>
      <c r="F20" s="1606"/>
      <c r="G20" s="1633"/>
      <c r="H20" s="1620"/>
      <c r="I20" s="1625"/>
      <c r="J20" s="24" t="s">
        <v>88</v>
      </c>
      <c r="K20" s="7">
        <v>74530</v>
      </c>
      <c r="L20" s="2">
        <v>141870</v>
      </c>
      <c r="M20" s="2">
        <v>150540</v>
      </c>
      <c r="N20" s="3">
        <v>216400</v>
      </c>
      <c r="O20" s="3">
        <v>292410</v>
      </c>
      <c r="P20" s="62">
        <f t="shared" si="1"/>
        <v>225070</v>
      </c>
      <c r="Q20" s="9">
        <v>366940</v>
      </c>
      <c r="R20" s="80">
        <v>75980</v>
      </c>
      <c r="S20" s="15">
        <v>56990</v>
      </c>
      <c r="T20" s="15">
        <v>37990</v>
      </c>
      <c r="U20" s="16">
        <v>29810</v>
      </c>
      <c r="V20" s="16">
        <v>35470</v>
      </c>
      <c r="W20" s="17">
        <v>57790</v>
      </c>
    </row>
    <row r="21" spans="1:23">
      <c r="A21" s="14">
        <v>1</v>
      </c>
      <c r="B21" s="14">
        <v>4</v>
      </c>
      <c r="C21" s="14">
        <v>1</v>
      </c>
      <c r="D21" s="14">
        <v>2</v>
      </c>
      <c r="E21" s="32" t="str">
        <f t="shared" si="0"/>
        <v>1412</v>
      </c>
      <c r="F21" s="1606"/>
      <c r="G21" s="1633"/>
      <c r="H21" s="1620"/>
      <c r="I21" s="1620" t="s">
        <v>89</v>
      </c>
      <c r="J21" s="24" t="s">
        <v>87</v>
      </c>
      <c r="K21" s="7">
        <v>69290</v>
      </c>
      <c r="L21" s="2">
        <v>130970</v>
      </c>
      <c r="M21" s="2">
        <v>138070</v>
      </c>
      <c r="N21" s="3">
        <v>200260</v>
      </c>
      <c r="O21" s="3">
        <v>269040</v>
      </c>
      <c r="P21" s="62">
        <f t="shared" si="1"/>
        <v>207360</v>
      </c>
      <c r="Q21" s="9">
        <v>338330</v>
      </c>
      <c r="R21" s="80">
        <v>69700</v>
      </c>
      <c r="S21" s="15">
        <v>52280</v>
      </c>
      <c r="T21" s="15">
        <v>34850</v>
      </c>
      <c r="U21" s="16">
        <v>27710</v>
      </c>
      <c r="V21" s="16">
        <v>32740</v>
      </c>
      <c r="W21" s="17">
        <v>52450</v>
      </c>
    </row>
    <row r="22" spans="1:23" ht="12.75" thickBot="1">
      <c r="A22" s="14">
        <v>1</v>
      </c>
      <c r="B22" s="14">
        <v>4</v>
      </c>
      <c r="C22" s="14">
        <v>2</v>
      </c>
      <c r="D22" s="14">
        <v>2</v>
      </c>
      <c r="E22" s="32" t="str">
        <f t="shared" si="0"/>
        <v>1422</v>
      </c>
      <c r="F22" s="1607"/>
      <c r="G22" s="1634"/>
      <c r="H22" s="1631"/>
      <c r="I22" s="1631"/>
      <c r="J22" s="45" t="s">
        <v>88</v>
      </c>
      <c r="K22" s="46">
        <v>78460</v>
      </c>
      <c r="L22" s="47">
        <v>150030</v>
      </c>
      <c r="M22" s="47">
        <v>160070</v>
      </c>
      <c r="N22" s="48">
        <v>228490</v>
      </c>
      <c r="O22" s="48">
        <v>310100</v>
      </c>
      <c r="P22" s="81">
        <f t="shared" si="1"/>
        <v>238530</v>
      </c>
      <c r="Q22" s="49">
        <v>388560</v>
      </c>
      <c r="R22" s="82">
        <v>80700</v>
      </c>
      <c r="S22" s="47">
        <v>60530</v>
      </c>
      <c r="T22" s="47">
        <v>40350</v>
      </c>
      <c r="U22" s="48">
        <v>31380</v>
      </c>
      <c r="V22" s="48">
        <v>37510</v>
      </c>
      <c r="W22" s="49">
        <v>61870</v>
      </c>
    </row>
    <row r="23" spans="1:23" ht="20.25" customHeight="1">
      <c r="A23" s="14">
        <v>2</v>
      </c>
      <c r="B23" s="14">
        <v>6</v>
      </c>
      <c r="C23" s="14">
        <v>5</v>
      </c>
      <c r="D23" s="14">
        <v>5</v>
      </c>
      <c r="E23" s="32" t="str">
        <f t="shared" si="0"/>
        <v>2655</v>
      </c>
      <c r="F23" s="1606" t="s">
        <v>103</v>
      </c>
      <c r="G23" s="1627" t="s">
        <v>107</v>
      </c>
      <c r="H23" s="1619" t="s">
        <v>98</v>
      </c>
      <c r="I23" s="1619"/>
      <c r="J23" s="1635"/>
      <c r="K23" s="83">
        <v>33630</v>
      </c>
      <c r="L23" s="84">
        <v>53800</v>
      </c>
      <c r="M23" s="84">
        <v>47080</v>
      </c>
      <c r="N23" s="84">
        <v>87430</v>
      </c>
      <c r="O23" s="84">
        <v>100880</v>
      </c>
      <c r="P23" s="85">
        <f t="shared" si="1"/>
        <v>80710</v>
      </c>
      <c r="Q23" s="86">
        <v>134510</v>
      </c>
      <c r="R23" s="87">
        <v>26900</v>
      </c>
      <c r="S23" s="84">
        <v>20180</v>
      </c>
      <c r="T23" s="84">
        <v>13450</v>
      </c>
      <c r="U23" s="84">
        <v>13450</v>
      </c>
      <c r="V23" s="84">
        <v>13450</v>
      </c>
      <c r="W23" s="88">
        <v>13450</v>
      </c>
    </row>
    <row r="24" spans="1:23" ht="20.25" customHeight="1">
      <c r="A24" s="14">
        <v>2</v>
      </c>
      <c r="B24" s="14">
        <v>6</v>
      </c>
      <c r="C24" s="14">
        <v>5</v>
      </c>
      <c r="D24" s="14">
        <v>6</v>
      </c>
      <c r="E24" s="32" t="str">
        <f t="shared" si="0"/>
        <v>2656</v>
      </c>
      <c r="F24" s="1606"/>
      <c r="G24" s="1628"/>
      <c r="H24" s="1617" t="s">
        <v>85</v>
      </c>
      <c r="I24" s="1617"/>
      <c r="J24" s="1618"/>
      <c r="K24" s="89">
        <v>1030</v>
      </c>
      <c r="L24" s="90">
        <v>1640</v>
      </c>
      <c r="M24" s="90">
        <v>1440</v>
      </c>
      <c r="N24" s="90">
        <v>2670</v>
      </c>
      <c r="O24" s="90">
        <v>3080</v>
      </c>
      <c r="P24" s="62">
        <f t="shared" si="1"/>
        <v>2470</v>
      </c>
      <c r="Q24" s="91">
        <v>4110</v>
      </c>
      <c r="R24" s="92">
        <v>820</v>
      </c>
      <c r="S24" s="90">
        <v>620</v>
      </c>
      <c r="T24" s="90">
        <v>410</v>
      </c>
      <c r="U24" s="90">
        <v>410</v>
      </c>
      <c r="V24" s="90">
        <v>410</v>
      </c>
      <c r="W24" s="93">
        <v>410</v>
      </c>
    </row>
    <row r="25" spans="1:23" ht="12.75" thickBot="1">
      <c r="A25" s="14">
        <v>2</v>
      </c>
      <c r="B25" s="14">
        <v>6</v>
      </c>
      <c r="C25" s="14">
        <v>5</v>
      </c>
      <c r="D25" s="14">
        <v>7</v>
      </c>
      <c r="E25" s="32" t="str">
        <f t="shared" si="0"/>
        <v>2657</v>
      </c>
      <c r="F25" s="1606"/>
      <c r="G25" s="1629"/>
      <c r="H25" s="1617" t="s">
        <v>84</v>
      </c>
      <c r="I25" s="1617"/>
      <c r="J25" s="1618"/>
      <c r="K25" s="89">
        <v>500</v>
      </c>
      <c r="L25" s="90">
        <v>800</v>
      </c>
      <c r="M25" s="90">
        <v>700</v>
      </c>
      <c r="N25" s="90">
        <v>1300</v>
      </c>
      <c r="O25" s="90">
        <v>1500</v>
      </c>
      <c r="P25" s="94">
        <f t="shared" si="1"/>
        <v>1200</v>
      </c>
      <c r="Q25" s="91">
        <v>2000</v>
      </c>
      <c r="R25" s="92">
        <v>400</v>
      </c>
      <c r="S25" s="90">
        <v>300</v>
      </c>
      <c r="T25" s="90">
        <v>200</v>
      </c>
      <c r="U25" s="90">
        <v>200</v>
      </c>
      <c r="V25" s="90">
        <v>200</v>
      </c>
      <c r="W25" s="93">
        <v>200</v>
      </c>
    </row>
    <row r="26" spans="1:23" ht="12" customHeight="1">
      <c r="A26" s="14">
        <v>3</v>
      </c>
      <c r="B26" s="14">
        <v>1</v>
      </c>
      <c r="C26" s="14">
        <v>1</v>
      </c>
      <c r="D26" s="14">
        <v>1</v>
      </c>
      <c r="E26" s="32" t="str">
        <f t="shared" si="0"/>
        <v>3111</v>
      </c>
      <c r="F26" s="1626" t="s">
        <v>106</v>
      </c>
      <c r="G26" s="1638" t="s">
        <v>172</v>
      </c>
      <c r="H26" s="1608" t="s">
        <v>86</v>
      </c>
      <c r="I26" s="1624" t="s">
        <v>100</v>
      </c>
      <c r="J26" s="25" t="s">
        <v>87</v>
      </c>
      <c r="K26" s="21">
        <v>40750</v>
      </c>
      <c r="L26" s="18">
        <v>71720</v>
      </c>
      <c r="M26" s="18">
        <v>70420</v>
      </c>
      <c r="N26" s="19">
        <v>112470</v>
      </c>
      <c r="O26" s="19">
        <v>142140</v>
      </c>
      <c r="P26" s="95">
        <f t="shared" si="1"/>
        <v>111170</v>
      </c>
      <c r="Q26" s="20">
        <v>182890</v>
      </c>
      <c r="R26" s="96">
        <v>35440</v>
      </c>
      <c r="S26" s="19">
        <v>26580</v>
      </c>
      <c r="T26" s="19">
        <v>17720</v>
      </c>
      <c r="U26" s="97">
        <v>16300</v>
      </c>
      <c r="V26" s="97">
        <v>17930</v>
      </c>
      <c r="W26" s="98">
        <v>23450</v>
      </c>
    </row>
    <row r="27" spans="1:23" ht="13.5" customHeight="1">
      <c r="A27" s="14">
        <v>3</v>
      </c>
      <c r="B27" s="14">
        <v>1</v>
      </c>
      <c r="C27" s="14">
        <v>2</v>
      </c>
      <c r="D27" s="14">
        <v>1</v>
      </c>
      <c r="E27" s="32" t="str">
        <f t="shared" si="0"/>
        <v>3121</v>
      </c>
      <c r="F27" s="1606"/>
      <c r="G27" s="1615"/>
      <c r="H27" s="1619"/>
      <c r="I27" s="1625"/>
      <c r="J27" s="26" t="s">
        <v>88</v>
      </c>
      <c r="K27" s="7">
        <v>45970</v>
      </c>
      <c r="L27" s="2">
        <v>80880</v>
      </c>
      <c r="M27" s="2">
        <v>79040</v>
      </c>
      <c r="N27" s="3">
        <v>126850</v>
      </c>
      <c r="O27" s="3">
        <v>159920</v>
      </c>
      <c r="P27" s="62">
        <f t="shared" si="1"/>
        <v>125010</v>
      </c>
      <c r="Q27" s="4">
        <v>205890</v>
      </c>
      <c r="R27" s="80">
        <v>41700</v>
      </c>
      <c r="S27" s="15">
        <v>31280</v>
      </c>
      <c r="T27" s="15">
        <v>20850</v>
      </c>
      <c r="U27" s="16">
        <v>18390</v>
      </c>
      <c r="V27" s="16">
        <v>20220</v>
      </c>
      <c r="W27" s="17">
        <v>27150</v>
      </c>
    </row>
    <row r="28" spans="1:23" ht="13.5" customHeight="1">
      <c r="A28" s="14">
        <v>3</v>
      </c>
      <c r="B28" s="14">
        <v>2</v>
      </c>
      <c r="C28" s="14">
        <v>1</v>
      </c>
      <c r="D28" s="14">
        <v>1</v>
      </c>
      <c r="E28" s="32" t="str">
        <f t="shared" si="0"/>
        <v>3211</v>
      </c>
      <c r="F28" s="1606"/>
      <c r="G28" s="1615"/>
      <c r="H28" s="1619"/>
      <c r="I28" s="1612" t="s">
        <v>101</v>
      </c>
      <c r="J28" s="26" t="s">
        <v>87</v>
      </c>
      <c r="K28" s="7">
        <v>56030</v>
      </c>
      <c r="L28" s="2">
        <v>103490</v>
      </c>
      <c r="M28" s="2">
        <v>100670</v>
      </c>
      <c r="N28" s="3">
        <v>159520</v>
      </c>
      <c r="O28" s="3">
        <v>204160</v>
      </c>
      <c r="P28" s="62">
        <f t="shared" si="1"/>
        <v>156700</v>
      </c>
      <c r="Q28" s="4">
        <v>260190</v>
      </c>
      <c r="R28" s="80">
        <v>53780</v>
      </c>
      <c r="S28" s="15">
        <v>40340</v>
      </c>
      <c r="T28" s="15">
        <v>26890</v>
      </c>
      <c r="U28" s="16">
        <v>22410</v>
      </c>
      <c r="V28" s="16">
        <v>25870</v>
      </c>
      <c r="W28" s="17">
        <v>36420</v>
      </c>
    </row>
    <row r="29" spans="1:23" ht="13.5" customHeight="1">
      <c r="A29" s="14">
        <v>3</v>
      </c>
      <c r="B29" s="14">
        <v>2</v>
      </c>
      <c r="C29" s="14">
        <v>2</v>
      </c>
      <c r="D29" s="14">
        <v>1</v>
      </c>
      <c r="E29" s="32" t="str">
        <f t="shared" si="0"/>
        <v>3221</v>
      </c>
      <c r="F29" s="1606"/>
      <c r="G29" s="1615"/>
      <c r="H29" s="1619"/>
      <c r="I29" s="1670"/>
      <c r="J29" s="26" t="s">
        <v>88</v>
      </c>
      <c r="K29" s="7">
        <v>60110</v>
      </c>
      <c r="L29" s="2">
        <v>112050</v>
      </c>
      <c r="M29" s="2">
        <v>113140</v>
      </c>
      <c r="N29" s="3">
        <v>172160</v>
      </c>
      <c r="O29" s="3">
        <v>225190</v>
      </c>
      <c r="P29" s="62">
        <f t="shared" si="1"/>
        <v>173250</v>
      </c>
      <c r="Q29" s="4">
        <v>285300</v>
      </c>
      <c r="R29" s="80">
        <v>58680</v>
      </c>
      <c r="S29" s="15">
        <v>44010</v>
      </c>
      <c r="T29" s="15">
        <v>29340</v>
      </c>
      <c r="U29" s="16">
        <v>24040</v>
      </c>
      <c r="V29" s="16">
        <v>28010</v>
      </c>
      <c r="W29" s="17">
        <v>41760</v>
      </c>
    </row>
    <row r="30" spans="1:23" ht="13.5" customHeight="1">
      <c r="A30" s="14">
        <v>3</v>
      </c>
      <c r="B30" s="14">
        <v>3</v>
      </c>
      <c r="C30" s="14">
        <v>1</v>
      </c>
      <c r="D30" s="14">
        <v>1</v>
      </c>
      <c r="E30" s="32" t="str">
        <f t="shared" si="0"/>
        <v>3311</v>
      </c>
      <c r="F30" s="1606"/>
      <c r="G30" s="1615"/>
      <c r="H30" s="1619"/>
      <c r="I30" s="1621" t="s">
        <v>102</v>
      </c>
      <c r="J30" s="26" t="s">
        <v>87</v>
      </c>
      <c r="K30" s="7">
        <v>65360</v>
      </c>
      <c r="L30" s="2">
        <v>122800</v>
      </c>
      <c r="M30" s="2">
        <v>128900</v>
      </c>
      <c r="N30" s="3">
        <v>188160</v>
      </c>
      <c r="O30" s="3">
        <v>251700</v>
      </c>
      <c r="P30" s="62">
        <f t="shared" si="1"/>
        <v>194260</v>
      </c>
      <c r="Q30" s="4">
        <v>317060</v>
      </c>
      <c r="R30" s="68">
        <v>64980</v>
      </c>
      <c r="S30" s="2">
        <v>48740</v>
      </c>
      <c r="T30" s="2">
        <v>32490</v>
      </c>
      <c r="U30" s="3">
        <v>26140</v>
      </c>
      <c r="V30" s="3">
        <v>30700</v>
      </c>
      <c r="W30" s="9">
        <v>48520</v>
      </c>
    </row>
    <row r="31" spans="1:23" ht="13.5" customHeight="1">
      <c r="A31" s="14">
        <v>3</v>
      </c>
      <c r="B31" s="14">
        <v>3</v>
      </c>
      <c r="C31" s="14">
        <v>2</v>
      </c>
      <c r="D31" s="14">
        <v>1</v>
      </c>
      <c r="E31" s="32" t="str">
        <f t="shared" si="0"/>
        <v>3321</v>
      </c>
      <c r="F31" s="1606"/>
      <c r="G31" s="1615"/>
      <c r="H31" s="1619"/>
      <c r="I31" s="1625"/>
      <c r="J31" s="26" t="s">
        <v>88</v>
      </c>
      <c r="K31" s="7">
        <v>74530</v>
      </c>
      <c r="L31" s="2">
        <v>141870</v>
      </c>
      <c r="M31" s="2">
        <v>150540</v>
      </c>
      <c r="N31" s="3">
        <v>216400</v>
      </c>
      <c r="O31" s="3">
        <v>292410</v>
      </c>
      <c r="P31" s="62">
        <f t="shared" si="1"/>
        <v>225070</v>
      </c>
      <c r="Q31" s="4">
        <v>366940</v>
      </c>
      <c r="R31" s="80">
        <v>75980</v>
      </c>
      <c r="S31" s="15">
        <v>56990</v>
      </c>
      <c r="T31" s="15">
        <v>37990</v>
      </c>
      <c r="U31" s="16">
        <v>29810</v>
      </c>
      <c r="V31" s="16">
        <v>35470</v>
      </c>
      <c r="W31" s="17">
        <v>57790</v>
      </c>
    </row>
    <row r="32" spans="1:23" ht="13.5" customHeight="1">
      <c r="A32" s="14">
        <v>3</v>
      </c>
      <c r="B32" s="14">
        <v>4</v>
      </c>
      <c r="C32" s="14">
        <v>1</v>
      </c>
      <c r="D32" s="14">
        <v>1</v>
      </c>
      <c r="E32" s="32" t="str">
        <f t="shared" si="0"/>
        <v>3411</v>
      </c>
      <c r="F32" s="1606"/>
      <c r="G32" s="1615"/>
      <c r="H32" s="1619"/>
      <c r="I32" s="1620" t="s">
        <v>89</v>
      </c>
      <c r="J32" s="26" t="s">
        <v>87</v>
      </c>
      <c r="K32" s="7">
        <v>69290</v>
      </c>
      <c r="L32" s="2">
        <v>130970</v>
      </c>
      <c r="M32" s="2">
        <v>138070</v>
      </c>
      <c r="N32" s="3">
        <v>200260</v>
      </c>
      <c r="O32" s="3">
        <v>269040</v>
      </c>
      <c r="P32" s="62">
        <f t="shared" si="1"/>
        <v>207360</v>
      </c>
      <c r="Q32" s="4">
        <v>338330</v>
      </c>
      <c r="R32" s="80">
        <v>69700</v>
      </c>
      <c r="S32" s="15">
        <v>52280</v>
      </c>
      <c r="T32" s="15">
        <v>34850</v>
      </c>
      <c r="U32" s="16">
        <v>27710</v>
      </c>
      <c r="V32" s="16">
        <v>32740</v>
      </c>
      <c r="W32" s="17">
        <v>52450</v>
      </c>
    </row>
    <row r="33" spans="1:23" ht="13.5" customHeight="1">
      <c r="A33" s="14">
        <v>3</v>
      </c>
      <c r="B33" s="14">
        <v>4</v>
      </c>
      <c r="C33" s="14">
        <v>2</v>
      </c>
      <c r="D33" s="14">
        <v>1</v>
      </c>
      <c r="E33" s="32" t="str">
        <f t="shared" si="0"/>
        <v>3421</v>
      </c>
      <c r="F33" s="1606"/>
      <c r="G33" s="1615"/>
      <c r="H33" s="1619"/>
      <c r="I33" s="1621"/>
      <c r="J33" s="26" t="s">
        <v>88</v>
      </c>
      <c r="K33" s="7">
        <v>78460</v>
      </c>
      <c r="L33" s="2">
        <v>150030</v>
      </c>
      <c r="M33" s="2">
        <v>160070</v>
      </c>
      <c r="N33" s="3">
        <v>228490</v>
      </c>
      <c r="O33" s="3">
        <v>310100</v>
      </c>
      <c r="P33" s="62">
        <f t="shared" si="1"/>
        <v>238530</v>
      </c>
      <c r="Q33" s="4">
        <v>388560</v>
      </c>
      <c r="R33" s="80">
        <v>80700</v>
      </c>
      <c r="S33" s="15">
        <v>60530</v>
      </c>
      <c r="T33" s="15">
        <v>40350</v>
      </c>
      <c r="U33" s="16">
        <v>31380</v>
      </c>
      <c r="V33" s="16">
        <v>37510</v>
      </c>
      <c r="W33" s="17">
        <v>61870</v>
      </c>
    </row>
    <row r="34" spans="1:23" ht="18" customHeight="1">
      <c r="A34" s="14">
        <v>3</v>
      </c>
      <c r="B34" s="14">
        <v>6</v>
      </c>
      <c r="C34" s="14">
        <v>5</v>
      </c>
      <c r="D34" s="14">
        <v>6</v>
      </c>
      <c r="E34" s="32" t="str">
        <f t="shared" si="0"/>
        <v>3656</v>
      </c>
      <c r="F34" s="1606"/>
      <c r="G34" s="1615"/>
      <c r="H34" s="1617" t="s">
        <v>85</v>
      </c>
      <c r="I34" s="1617"/>
      <c r="J34" s="1618"/>
      <c r="K34" s="7">
        <v>2040</v>
      </c>
      <c r="L34" s="2">
        <v>3270</v>
      </c>
      <c r="M34" s="2">
        <v>2860</v>
      </c>
      <c r="N34" s="3">
        <v>5310</v>
      </c>
      <c r="O34" s="3">
        <v>6130</v>
      </c>
      <c r="P34" s="62">
        <f t="shared" si="1"/>
        <v>4900</v>
      </c>
      <c r="Q34" s="4">
        <v>8170</v>
      </c>
      <c r="R34" s="80">
        <v>2040</v>
      </c>
      <c r="S34" s="15">
        <v>1530</v>
      </c>
      <c r="T34" s="15">
        <v>1020</v>
      </c>
      <c r="U34" s="16">
        <v>810</v>
      </c>
      <c r="V34" s="16">
        <v>820</v>
      </c>
      <c r="W34" s="17">
        <v>1020</v>
      </c>
    </row>
    <row r="35" spans="1:23" ht="18" customHeight="1" thickBot="1">
      <c r="A35" s="14">
        <v>3</v>
      </c>
      <c r="B35" s="14">
        <v>6</v>
      </c>
      <c r="C35" s="14">
        <v>5</v>
      </c>
      <c r="D35" s="14">
        <v>7</v>
      </c>
      <c r="E35" s="32" t="str">
        <f t="shared" si="0"/>
        <v>3657</v>
      </c>
      <c r="F35" s="1606"/>
      <c r="G35" s="1672"/>
      <c r="H35" s="1622" t="s">
        <v>84</v>
      </c>
      <c r="I35" s="1622"/>
      <c r="J35" s="1623"/>
      <c r="K35" s="46">
        <v>1010</v>
      </c>
      <c r="L35" s="47">
        <v>1630</v>
      </c>
      <c r="M35" s="47">
        <v>1420</v>
      </c>
      <c r="N35" s="48">
        <v>2640</v>
      </c>
      <c r="O35" s="48">
        <v>3050</v>
      </c>
      <c r="P35" s="81">
        <f t="shared" si="1"/>
        <v>2430</v>
      </c>
      <c r="Q35" s="50">
        <v>4060</v>
      </c>
      <c r="R35" s="82">
        <v>1020</v>
      </c>
      <c r="S35" s="47">
        <v>770</v>
      </c>
      <c r="T35" s="47">
        <v>510</v>
      </c>
      <c r="U35" s="48">
        <v>400</v>
      </c>
      <c r="V35" s="48">
        <v>410</v>
      </c>
      <c r="W35" s="49">
        <v>510</v>
      </c>
    </row>
    <row r="36" spans="1:23" ht="12.75" customHeight="1" thickTop="1">
      <c r="A36" s="14">
        <v>3</v>
      </c>
      <c r="B36" s="14">
        <v>1</v>
      </c>
      <c r="C36" s="14">
        <v>1</v>
      </c>
      <c r="D36" s="14">
        <v>2</v>
      </c>
      <c r="E36" s="32" t="str">
        <f t="shared" ref="E36:E43" si="2">CONCATENATE(A36,B36,C36,D36)</f>
        <v>3112</v>
      </c>
      <c r="F36" s="1606"/>
      <c r="G36" s="1632" t="s">
        <v>171</v>
      </c>
      <c r="H36" s="1630" t="s">
        <v>86</v>
      </c>
      <c r="I36" s="1669" t="s">
        <v>100</v>
      </c>
      <c r="J36" s="23" t="s">
        <v>87</v>
      </c>
      <c r="K36" s="10">
        <v>40750</v>
      </c>
      <c r="L36" s="11">
        <v>71720</v>
      </c>
      <c r="M36" s="11">
        <v>70420</v>
      </c>
      <c r="N36" s="12">
        <v>112470</v>
      </c>
      <c r="O36" s="12">
        <v>142140</v>
      </c>
      <c r="P36" s="62">
        <f t="shared" ref="P36:P43" si="3">K36+M36</f>
        <v>111170</v>
      </c>
      <c r="Q36" s="13">
        <v>182890</v>
      </c>
      <c r="R36" s="76">
        <v>35440</v>
      </c>
      <c r="S36" s="77">
        <v>26580</v>
      </c>
      <c r="T36" s="77">
        <v>17720</v>
      </c>
      <c r="U36" s="78">
        <v>16300</v>
      </c>
      <c r="V36" s="78">
        <v>17930</v>
      </c>
      <c r="W36" s="79">
        <v>23450</v>
      </c>
    </row>
    <row r="37" spans="1:23" ht="13.5" customHeight="1">
      <c r="A37" s="14">
        <v>3</v>
      </c>
      <c r="B37" s="14">
        <v>1</v>
      </c>
      <c r="C37" s="14">
        <v>2</v>
      </c>
      <c r="D37" s="14">
        <v>2</v>
      </c>
      <c r="E37" s="32" t="str">
        <f t="shared" si="2"/>
        <v>3122</v>
      </c>
      <c r="F37" s="1606"/>
      <c r="G37" s="1633"/>
      <c r="H37" s="1620"/>
      <c r="I37" s="1625"/>
      <c r="J37" s="24" t="s">
        <v>88</v>
      </c>
      <c r="K37" s="7">
        <v>45970</v>
      </c>
      <c r="L37" s="2">
        <v>80880</v>
      </c>
      <c r="M37" s="2">
        <v>79040</v>
      </c>
      <c r="N37" s="3">
        <v>126850</v>
      </c>
      <c r="O37" s="3">
        <v>159920</v>
      </c>
      <c r="P37" s="62">
        <f t="shared" si="3"/>
        <v>125010</v>
      </c>
      <c r="Q37" s="9">
        <v>205890</v>
      </c>
      <c r="R37" s="80">
        <v>41700</v>
      </c>
      <c r="S37" s="15">
        <v>31280</v>
      </c>
      <c r="T37" s="15">
        <v>20850</v>
      </c>
      <c r="U37" s="16">
        <v>18390</v>
      </c>
      <c r="V37" s="16">
        <v>20220</v>
      </c>
      <c r="W37" s="17">
        <v>27150</v>
      </c>
    </row>
    <row r="38" spans="1:23" ht="13.5" customHeight="1">
      <c r="A38" s="14">
        <v>3</v>
      </c>
      <c r="B38" s="14">
        <v>2</v>
      </c>
      <c r="C38" s="14">
        <v>1</v>
      </c>
      <c r="D38" s="14">
        <v>2</v>
      </c>
      <c r="E38" s="32" t="str">
        <f t="shared" si="2"/>
        <v>3212</v>
      </c>
      <c r="F38" s="1606"/>
      <c r="G38" s="1633"/>
      <c r="H38" s="1620"/>
      <c r="I38" s="1612" t="s">
        <v>101</v>
      </c>
      <c r="J38" s="24" t="s">
        <v>87</v>
      </c>
      <c r="K38" s="7">
        <v>56030</v>
      </c>
      <c r="L38" s="2">
        <v>103490</v>
      </c>
      <c r="M38" s="2">
        <v>100670</v>
      </c>
      <c r="N38" s="3">
        <v>159520</v>
      </c>
      <c r="O38" s="3">
        <v>204160</v>
      </c>
      <c r="P38" s="62">
        <f t="shared" si="3"/>
        <v>156700</v>
      </c>
      <c r="Q38" s="9">
        <v>260190</v>
      </c>
      <c r="R38" s="80">
        <v>53780</v>
      </c>
      <c r="S38" s="15">
        <v>40340</v>
      </c>
      <c r="T38" s="15">
        <v>26890</v>
      </c>
      <c r="U38" s="16">
        <v>22410</v>
      </c>
      <c r="V38" s="16">
        <v>25870</v>
      </c>
      <c r="W38" s="17">
        <v>36420</v>
      </c>
    </row>
    <row r="39" spans="1:23" ht="13.5" customHeight="1">
      <c r="A39" s="14">
        <v>3</v>
      </c>
      <c r="B39" s="14">
        <v>2</v>
      </c>
      <c r="C39" s="14">
        <v>2</v>
      </c>
      <c r="D39" s="14">
        <v>2</v>
      </c>
      <c r="E39" s="32" t="str">
        <f t="shared" si="2"/>
        <v>3222</v>
      </c>
      <c r="F39" s="1606"/>
      <c r="G39" s="1633"/>
      <c r="H39" s="1620"/>
      <c r="I39" s="1670"/>
      <c r="J39" s="24" t="s">
        <v>88</v>
      </c>
      <c r="K39" s="7">
        <v>60110</v>
      </c>
      <c r="L39" s="2">
        <v>112050</v>
      </c>
      <c r="M39" s="2">
        <v>113140</v>
      </c>
      <c r="N39" s="3">
        <v>172160</v>
      </c>
      <c r="O39" s="3">
        <v>225190</v>
      </c>
      <c r="P39" s="62">
        <f t="shared" si="3"/>
        <v>173250</v>
      </c>
      <c r="Q39" s="9">
        <v>285300</v>
      </c>
      <c r="R39" s="80">
        <v>58680</v>
      </c>
      <c r="S39" s="15">
        <v>44010</v>
      </c>
      <c r="T39" s="15">
        <v>29340</v>
      </c>
      <c r="U39" s="16">
        <v>24040</v>
      </c>
      <c r="V39" s="16">
        <v>28010</v>
      </c>
      <c r="W39" s="17">
        <v>41760</v>
      </c>
    </row>
    <row r="40" spans="1:23" ht="13.5" customHeight="1">
      <c r="A40" s="14">
        <v>3</v>
      </c>
      <c r="B40" s="14">
        <v>3</v>
      </c>
      <c r="C40" s="14">
        <v>1</v>
      </c>
      <c r="D40" s="14">
        <v>2</v>
      </c>
      <c r="E40" s="32" t="str">
        <f t="shared" si="2"/>
        <v>3312</v>
      </c>
      <c r="F40" s="1606"/>
      <c r="G40" s="1633"/>
      <c r="H40" s="1620"/>
      <c r="I40" s="1621" t="s">
        <v>102</v>
      </c>
      <c r="J40" s="24" t="s">
        <v>87</v>
      </c>
      <c r="K40" s="7">
        <v>65360</v>
      </c>
      <c r="L40" s="2">
        <v>122800</v>
      </c>
      <c r="M40" s="2">
        <v>128900</v>
      </c>
      <c r="N40" s="3">
        <v>188160</v>
      </c>
      <c r="O40" s="3">
        <v>251700</v>
      </c>
      <c r="P40" s="62">
        <f t="shared" si="3"/>
        <v>194260</v>
      </c>
      <c r="Q40" s="9">
        <v>317060</v>
      </c>
      <c r="R40" s="68">
        <v>64980</v>
      </c>
      <c r="S40" s="2">
        <v>48740</v>
      </c>
      <c r="T40" s="2">
        <v>32490</v>
      </c>
      <c r="U40" s="3">
        <v>26140</v>
      </c>
      <c r="V40" s="3">
        <v>30700</v>
      </c>
      <c r="W40" s="9">
        <v>48520</v>
      </c>
    </row>
    <row r="41" spans="1:23" ht="13.5" customHeight="1">
      <c r="A41" s="14">
        <v>3</v>
      </c>
      <c r="B41" s="14">
        <v>3</v>
      </c>
      <c r="C41" s="14">
        <v>2</v>
      </c>
      <c r="D41" s="14">
        <v>2</v>
      </c>
      <c r="E41" s="32" t="str">
        <f t="shared" si="2"/>
        <v>3322</v>
      </c>
      <c r="F41" s="1606"/>
      <c r="G41" s="1633"/>
      <c r="H41" s="1620"/>
      <c r="I41" s="1625"/>
      <c r="J41" s="24" t="s">
        <v>88</v>
      </c>
      <c r="K41" s="7">
        <v>74530</v>
      </c>
      <c r="L41" s="2">
        <v>141870</v>
      </c>
      <c r="M41" s="2">
        <v>150540</v>
      </c>
      <c r="N41" s="3">
        <v>216400</v>
      </c>
      <c r="O41" s="3">
        <v>292410</v>
      </c>
      <c r="P41" s="62">
        <f t="shared" si="3"/>
        <v>225070</v>
      </c>
      <c r="Q41" s="9">
        <v>366940</v>
      </c>
      <c r="R41" s="80">
        <v>75980</v>
      </c>
      <c r="S41" s="15">
        <v>56990</v>
      </c>
      <c r="T41" s="15">
        <v>37990</v>
      </c>
      <c r="U41" s="16">
        <v>29810</v>
      </c>
      <c r="V41" s="16">
        <v>35470</v>
      </c>
      <c r="W41" s="17">
        <v>57790</v>
      </c>
    </row>
    <row r="42" spans="1:23" ht="13.5" customHeight="1">
      <c r="A42" s="14">
        <v>3</v>
      </c>
      <c r="B42" s="14">
        <v>4</v>
      </c>
      <c r="C42" s="14">
        <v>1</v>
      </c>
      <c r="D42" s="14">
        <v>2</v>
      </c>
      <c r="E42" s="32" t="str">
        <f t="shared" si="2"/>
        <v>3412</v>
      </c>
      <c r="F42" s="1606"/>
      <c r="G42" s="1633"/>
      <c r="H42" s="1620"/>
      <c r="I42" s="1620" t="s">
        <v>89</v>
      </c>
      <c r="J42" s="24" t="s">
        <v>87</v>
      </c>
      <c r="K42" s="7">
        <v>69290</v>
      </c>
      <c r="L42" s="2">
        <v>130970</v>
      </c>
      <c r="M42" s="2">
        <v>138070</v>
      </c>
      <c r="N42" s="3">
        <v>200260</v>
      </c>
      <c r="O42" s="3">
        <v>269040</v>
      </c>
      <c r="P42" s="62">
        <f t="shared" si="3"/>
        <v>207360</v>
      </c>
      <c r="Q42" s="9">
        <v>338330</v>
      </c>
      <c r="R42" s="80">
        <v>69700</v>
      </c>
      <c r="S42" s="15">
        <v>52280</v>
      </c>
      <c r="T42" s="15">
        <v>34850</v>
      </c>
      <c r="U42" s="16">
        <v>27710</v>
      </c>
      <c r="V42" s="16">
        <v>32740</v>
      </c>
      <c r="W42" s="17">
        <v>52450</v>
      </c>
    </row>
    <row r="43" spans="1:23" ht="14.25" customHeight="1" thickBot="1">
      <c r="A43" s="14">
        <v>3</v>
      </c>
      <c r="B43" s="14">
        <v>4</v>
      </c>
      <c r="C43" s="14">
        <v>2</v>
      </c>
      <c r="D43" s="14">
        <v>2</v>
      </c>
      <c r="E43" s="32" t="str">
        <f t="shared" si="2"/>
        <v>3422</v>
      </c>
      <c r="F43" s="1607"/>
      <c r="G43" s="1634"/>
      <c r="H43" s="1631"/>
      <c r="I43" s="1631"/>
      <c r="J43" s="45" t="s">
        <v>88</v>
      </c>
      <c r="K43" s="46">
        <v>78460</v>
      </c>
      <c r="L43" s="47">
        <v>150030</v>
      </c>
      <c r="M43" s="47">
        <v>160070</v>
      </c>
      <c r="N43" s="48">
        <v>228490</v>
      </c>
      <c r="O43" s="48">
        <v>310100</v>
      </c>
      <c r="P43" s="81">
        <f t="shared" si="3"/>
        <v>238530</v>
      </c>
      <c r="Q43" s="49">
        <v>388560</v>
      </c>
      <c r="R43" s="82">
        <v>80700</v>
      </c>
      <c r="S43" s="47">
        <v>60530</v>
      </c>
      <c r="T43" s="47">
        <v>40350</v>
      </c>
      <c r="U43" s="48">
        <v>31380</v>
      </c>
      <c r="V43" s="48">
        <v>37510</v>
      </c>
      <c r="W43" s="49">
        <v>61870</v>
      </c>
    </row>
    <row r="44" spans="1:23" ht="18" customHeight="1">
      <c r="A44" s="14">
        <v>4</v>
      </c>
      <c r="B44" s="14">
        <v>6</v>
      </c>
      <c r="C44" s="14">
        <v>1</v>
      </c>
      <c r="D44" s="14">
        <v>1</v>
      </c>
      <c r="E44" s="32" t="str">
        <f t="shared" si="0"/>
        <v>4611</v>
      </c>
      <c r="F44" s="1626" t="s">
        <v>38</v>
      </c>
      <c r="G44" s="1638" t="s">
        <v>109</v>
      </c>
      <c r="H44" s="1608" t="s">
        <v>86</v>
      </c>
      <c r="I44" s="1649"/>
      <c r="J44" s="25" t="s">
        <v>87</v>
      </c>
      <c r="K44" s="99">
        <v>46450</v>
      </c>
      <c r="L44" s="100">
        <v>86050</v>
      </c>
      <c r="M44" s="100">
        <v>89090</v>
      </c>
      <c r="N44" s="100">
        <v>132500</v>
      </c>
      <c r="O44" s="100">
        <v>175140</v>
      </c>
      <c r="P44" s="95">
        <f t="shared" ref="P44:P49" si="4">K44+M44</f>
        <v>135540</v>
      </c>
      <c r="Q44" s="101">
        <v>221590</v>
      </c>
      <c r="R44" s="102">
        <v>42280</v>
      </c>
      <c r="S44" s="18">
        <v>31710</v>
      </c>
      <c r="T44" s="18">
        <v>21140</v>
      </c>
      <c r="U44" s="103">
        <v>18580</v>
      </c>
      <c r="V44" s="103">
        <v>21510</v>
      </c>
      <c r="W44" s="104">
        <v>31450</v>
      </c>
    </row>
    <row r="45" spans="1:23" ht="18" customHeight="1">
      <c r="A45" s="14">
        <v>4</v>
      </c>
      <c r="B45" s="14">
        <v>6</v>
      </c>
      <c r="C45" s="14">
        <v>2</v>
      </c>
      <c r="D45" s="14">
        <v>1</v>
      </c>
      <c r="E45" s="32" t="str">
        <f t="shared" si="0"/>
        <v>4621</v>
      </c>
      <c r="F45" s="1606"/>
      <c r="G45" s="1639"/>
      <c r="H45" s="1650"/>
      <c r="I45" s="1651"/>
      <c r="J45" s="26" t="s">
        <v>88</v>
      </c>
      <c r="K45" s="105">
        <v>55840</v>
      </c>
      <c r="L45" s="106">
        <v>102540</v>
      </c>
      <c r="M45" s="106">
        <v>104600</v>
      </c>
      <c r="N45" s="106">
        <v>158380</v>
      </c>
      <c r="O45" s="106">
        <v>207140</v>
      </c>
      <c r="P45" s="62">
        <f t="shared" si="4"/>
        <v>160440</v>
      </c>
      <c r="Q45" s="107">
        <v>262980</v>
      </c>
      <c r="R45" s="68">
        <v>53560</v>
      </c>
      <c r="S45" s="2">
        <v>40170</v>
      </c>
      <c r="T45" s="2">
        <v>26780</v>
      </c>
      <c r="U45" s="106">
        <v>22330</v>
      </c>
      <c r="V45" s="106">
        <v>25640</v>
      </c>
      <c r="W45" s="107">
        <v>38100</v>
      </c>
    </row>
    <row r="46" spans="1:23" ht="18" customHeight="1">
      <c r="A46" s="14">
        <v>4</v>
      </c>
      <c r="B46" s="14">
        <v>6</v>
      </c>
      <c r="C46" s="14">
        <v>5</v>
      </c>
      <c r="D46" s="14">
        <v>6</v>
      </c>
      <c r="E46" s="32" t="str">
        <f t="shared" si="0"/>
        <v>4656</v>
      </c>
      <c r="F46" s="1606"/>
      <c r="G46" s="1639"/>
      <c r="H46" s="1617" t="s">
        <v>85</v>
      </c>
      <c r="I46" s="1617"/>
      <c r="J46" s="1618"/>
      <c r="K46" s="105">
        <v>2850</v>
      </c>
      <c r="L46" s="106">
        <v>4570</v>
      </c>
      <c r="M46" s="106">
        <v>3990</v>
      </c>
      <c r="N46" s="106">
        <v>7420</v>
      </c>
      <c r="O46" s="106">
        <v>8560</v>
      </c>
      <c r="P46" s="62">
        <f t="shared" si="4"/>
        <v>6840</v>
      </c>
      <c r="Q46" s="107">
        <v>11410</v>
      </c>
      <c r="R46" s="108">
        <v>3000</v>
      </c>
      <c r="S46" s="106">
        <v>2250</v>
      </c>
      <c r="T46" s="2">
        <v>1500</v>
      </c>
      <c r="U46" s="106">
        <v>1140</v>
      </c>
      <c r="V46" s="106">
        <v>1140</v>
      </c>
      <c r="W46" s="107">
        <v>1500</v>
      </c>
    </row>
    <row r="47" spans="1:23" ht="18" customHeight="1" thickBot="1">
      <c r="A47" s="14">
        <v>4</v>
      </c>
      <c r="B47" s="14">
        <v>6</v>
      </c>
      <c r="C47" s="14">
        <v>5</v>
      </c>
      <c r="D47" s="14">
        <v>7</v>
      </c>
      <c r="E47" s="32" t="str">
        <f t="shared" si="0"/>
        <v>4657</v>
      </c>
      <c r="F47" s="1606"/>
      <c r="G47" s="1639"/>
      <c r="H47" s="1617" t="s">
        <v>84</v>
      </c>
      <c r="I47" s="1617"/>
      <c r="J47" s="1618"/>
      <c r="K47" s="89">
        <v>1420</v>
      </c>
      <c r="L47" s="90">
        <v>2290</v>
      </c>
      <c r="M47" s="90">
        <v>2000</v>
      </c>
      <c r="N47" s="90">
        <v>3710</v>
      </c>
      <c r="O47" s="90">
        <v>4290</v>
      </c>
      <c r="P47" s="94">
        <f t="shared" si="4"/>
        <v>3420</v>
      </c>
      <c r="Q47" s="91">
        <v>5710</v>
      </c>
      <c r="R47" s="92">
        <v>1500</v>
      </c>
      <c r="S47" s="90">
        <v>1130</v>
      </c>
      <c r="T47" s="90">
        <v>750</v>
      </c>
      <c r="U47" s="90">
        <v>570</v>
      </c>
      <c r="V47" s="90">
        <v>570</v>
      </c>
      <c r="W47" s="91">
        <v>760</v>
      </c>
    </row>
    <row r="48" spans="1:23" ht="18" customHeight="1" thickTop="1">
      <c r="A48" s="14">
        <v>4</v>
      </c>
      <c r="B48" s="14">
        <v>6</v>
      </c>
      <c r="C48" s="14">
        <v>1</v>
      </c>
      <c r="D48" s="14">
        <v>2</v>
      </c>
      <c r="E48" s="32" t="str">
        <f t="shared" si="0"/>
        <v>4612</v>
      </c>
      <c r="F48" s="1606"/>
      <c r="G48" s="1636" t="s">
        <v>110</v>
      </c>
      <c r="H48" s="1640" t="s">
        <v>90</v>
      </c>
      <c r="I48" s="1641"/>
      <c r="J48" s="55" t="s">
        <v>87</v>
      </c>
      <c r="K48" s="109">
        <v>40040</v>
      </c>
      <c r="L48" s="110">
        <v>69920</v>
      </c>
      <c r="M48" s="110">
        <v>68090</v>
      </c>
      <c r="N48" s="110">
        <v>109960</v>
      </c>
      <c r="O48" s="110">
        <v>138010</v>
      </c>
      <c r="P48" s="111">
        <f t="shared" si="4"/>
        <v>108130</v>
      </c>
      <c r="Q48" s="112">
        <v>178050</v>
      </c>
      <c r="R48" s="113">
        <v>34600</v>
      </c>
      <c r="S48" s="12">
        <v>25950</v>
      </c>
      <c r="T48" s="12">
        <v>17300</v>
      </c>
      <c r="U48" s="110">
        <v>16010</v>
      </c>
      <c r="V48" s="110">
        <v>17480</v>
      </c>
      <c r="W48" s="112">
        <v>22450</v>
      </c>
    </row>
    <row r="49" spans="1:23" ht="18" customHeight="1" thickBot="1">
      <c r="A49" s="14">
        <v>4</v>
      </c>
      <c r="B49" s="14">
        <v>6</v>
      </c>
      <c r="C49" s="14">
        <v>2</v>
      </c>
      <c r="D49" s="14">
        <v>2</v>
      </c>
      <c r="E49" s="32" t="str">
        <f t="shared" si="0"/>
        <v>4622</v>
      </c>
      <c r="F49" s="1606"/>
      <c r="G49" s="1637"/>
      <c r="H49" s="1642"/>
      <c r="I49" s="1643"/>
      <c r="J49" s="56" t="s">
        <v>88</v>
      </c>
      <c r="K49" s="114">
        <v>44740</v>
      </c>
      <c r="L49" s="115">
        <v>78170</v>
      </c>
      <c r="M49" s="115">
        <v>75840</v>
      </c>
      <c r="N49" s="115">
        <v>122910</v>
      </c>
      <c r="O49" s="115">
        <v>154010</v>
      </c>
      <c r="P49" s="116">
        <f t="shared" si="4"/>
        <v>120580</v>
      </c>
      <c r="Q49" s="117">
        <v>198750</v>
      </c>
      <c r="R49" s="118">
        <v>40240</v>
      </c>
      <c r="S49" s="119">
        <v>30180</v>
      </c>
      <c r="T49" s="119">
        <v>20120</v>
      </c>
      <c r="U49" s="115">
        <v>17890</v>
      </c>
      <c r="V49" s="115">
        <v>19540</v>
      </c>
      <c r="W49" s="117">
        <v>25780</v>
      </c>
    </row>
    <row r="50" spans="1:23" ht="13.5" customHeight="1" thickTop="1">
      <c r="A50" s="14">
        <v>6</v>
      </c>
      <c r="B50" s="14">
        <v>6</v>
      </c>
      <c r="C50" s="14">
        <v>1</v>
      </c>
      <c r="D50" s="14">
        <v>1</v>
      </c>
      <c r="E50" s="32" t="str">
        <f t="shared" si="0"/>
        <v>6611</v>
      </c>
      <c r="F50" s="1606"/>
      <c r="G50" s="1636" t="s">
        <v>104</v>
      </c>
      <c r="H50" s="1652" t="s">
        <v>5</v>
      </c>
      <c r="I50" s="1653"/>
      <c r="J50" s="54" t="s">
        <v>77</v>
      </c>
      <c r="K50" s="120">
        <v>47870</v>
      </c>
      <c r="L50" s="121">
        <v>89630</v>
      </c>
      <c r="M50" s="121">
        <v>93760</v>
      </c>
      <c r="N50" s="121">
        <v>137500</v>
      </c>
      <c r="O50" s="121">
        <v>183390</v>
      </c>
      <c r="P50" s="111">
        <f t="shared" si="1"/>
        <v>141630</v>
      </c>
      <c r="Q50" s="122">
        <v>231260</v>
      </c>
      <c r="R50" s="123">
        <v>43980</v>
      </c>
      <c r="S50" s="11">
        <v>32990</v>
      </c>
      <c r="T50" s="11">
        <v>21990</v>
      </c>
      <c r="U50" s="124">
        <v>19150</v>
      </c>
      <c r="V50" s="124">
        <v>22410</v>
      </c>
      <c r="W50" s="125">
        <v>33460</v>
      </c>
    </row>
    <row r="51" spans="1:23" ht="14.25" customHeight="1">
      <c r="A51" s="14">
        <v>6</v>
      </c>
      <c r="B51" s="14">
        <v>6</v>
      </c>
      <c r="C51" s="14">
        <v>2</v>
      </c>
      <c r="D51" s="14">
        <v>1</v>
      </c>
      <c r="E51" s="32" t="str">
        <f t="shared" si="0"/>
        <v>6621</v>
      </c>
      <c r="F51" s="1606"/>
      <c r="G51" s="1615"/>
      <c r="H51" s="1654"/>
      <c r="I51" s="1655"/>
      <c r="J51" s="169" t="s">
        <v>78</v>
      </c>
      <c r="K51" s="126">
        <v>58310</v>
      </c>
      <c r="L51" s="61">
        <v>107960</v>
      </c>
      <c r="M51" s="61">
        <v>110990</v>
      </c>
      <c r="N51" s="61">
        <v>166270</v>
      </c>
      <c r="O51" s="61">
        <v>218950</v>
      </c>
      <c r="P51" s="62">
        <f t="shared" si="1"/>
        <v>169300</v>
      </c>
      <c r="Q51" s="63">
        <v>277260</v>
      </c>
      <c r="R51" s="68">
        <v>56520</v>
      </c>
      <c r="S51" s="2">
        <v>42390</v>
      </c>
      <c r="T51" s="2">
        <v>28260</v>
      </c>
      <c r="U51" s="3">
        <v>23320</v>
      </c>
      <c r="V51" s="3">
        <v>26990</v>
      </c>
      <c r="W51" s="9">
        <v>40840</v>
      </c>
    </row>
    <row r="52" spans="1:23" ht="13.5" customHeight="1">
      <c r="A52" s="14">
        <v>6</v>
      </c>
      <c r="B52" s="14">
        <v>6</v>
      </c>
      <c r="C52" s="14">
        <v>5</v>
      </c>
      <c r="D52" s="14">
        <v>6</v>
      </c>
      <c r="E52" s="32" t="str">
        <f t="shared" si="0"/>
        <v>6656</v>
      </c>
      <c r="F52" s="1606"/>
      <c r="G52" s="1615"/>
      <c r="H52" s="1610" t="s">
        <v>82</v>
      </c>
      <c r="I52" s="1610"/>
      <c r="J52" s="1644"/>
      <c r="K52" s="126">
        <v>3050</v>
      </c>
      <c r="L52" s="61">
        <v>4890</v>
      </c>
      <c r="M52" s="61">
        <v>4270</v>
      </c>
      <c r="N52" s="61">
        <v>7940</v>
      </c>
      <c r="O52" s="61">
        <v>9160</v>
      </c>
      <c r="P52" s="62">
        <f t="shared" si="1"/>
        <v>7320</v>
      </c>
      <c r="Q52" s="63">
        <v>12210</v>
      </c>
      <c r="R52" s="68">
        <v>3240</v>
      </c>
      <c r="S52" s="2">
        <v>2430</v>
      </c>
      <c r="T52" s="2">
        <v>1620</v>
      </c>
      <c r="U52" s="3">
        <v>1220</v>
      </c>
      <c r="V52" s="3">
        <v>1220</v>
      </c>
      <c r="W52" s="9">
        <v>1620</v>
      </c>
    </row>
    <row r="53" spans="1:23" ht="14.25" customHeight="1" thickBot="1">
      <c r="A53" s="14">
        <v>6</v>
      </c>
      <c r="B53" s="14">
        <v>6</v>
      </c>
      <c r="C53" s="14">
        <v>5</v>
      </c>
      <c r="D53" s="14">
        <v>7</v>
      </c>
      <c r="E53" s="32" t="str">
        <f t="shared" si="0"/>
        <v>6657</v>
      </c>
      <c r="F53" s="1606"/>
      <c r="G53" s="1637"/>
      <c r="H53" s="1645" t="s">
        <v>83</v>
      </c>
      <c r="I53" s="1645"/>
      <c r="J53" s="1646"/>
      <c r="K53" s="127">
        <v>1520</v>
      </c>
      <c r="L53" s="128">
        <v>2450</v>
      </c>
      <c r="M53" s="128">
        <v>2140</v>
      </c>
      <c r="N53" s="128">
        <v>3970</v>
      </c>
      <c r="O53" s="128">
        <v>4590</v>
      </c>
      <c r="P53" s="116">
        <f t="shared" si="1"/>
        <v>3660</v>
      </c>
      <c r="Q53" s="129">
        <v>6110</v>
      </c>
      <c r="R53" s="118">
        <v>1620</v>
      </c>
      <c r="S53" s="119">
        <v>1220</v>
      </c>
      <c r="T53" s="119">
        <v>810</v>
      </c>
      <c r="U53" s="130">
        <v>610</v>
      </c>
      <c r="V53" s="130">
        <v>610</v>
      </c>
      <c r="W53" s="131">
        <v>820</v>
      </c>
    </row>
    <row r="54" spans="1:23" ht="14.25" customHeight="1" thickTop="1">
      <c r="A54" s="14">
        <v>6</v>
      </c>
      <c r="B54" s="14">
        <v>6</v>
      </c>
      <c r="C54" s="14">
        <v>1</v>
      </c>
      <c r="D54" s="14">
        <v>2</v>
      </c>
      <c r="E54" s="32" t="str">
        <f t="shared" si="0"/>
        <v>6612</v>
      </c>
      <c r="F54" s="1606"/>
      <c r="G54" s="1647" t="s">
        <v>105</v>
      </c>
      <c r="H54" s="1656" t="s">
        <v>108</v>
      </c>
      <c r="I54" s="1657"/>
      <c r="J54" s="51" t="s">
        <v>87</v>
      </c>
      <c r="K54" s="52">
        <v>40750</v>
      </c>
      <c r="L54" s="53">
        <v>71720</v>
      </c>
      <c r="M54" s="53">
        <v>70420</v>
      </c>
      <c r="N54" s="53">
        <v>112470</v>
      </c>
      <c r="O54" s="53">
        <v>142140</v>
      </c>
      <c r="P54" s="85">
        <f t="shared" si="1"/>
        <v>111170</v>
      </c>
      <c r="Q54" s="57">
        <v>182890</v>
      </c>
      <c r="R54" s="132">
        <v>35440</v>
      </c>
      <c r="S54" s="12">
        <v>26580</v>
      </c>
      <c r="T54" s="12">
        <v>17720</v>
      </c>
      <c r="U54" s="133">
        <v>16300</v>
      </c>
      <c r="V54" s="133">
        <v>17930</v>
      </c>
      <c r="W54" s="134">
        <v>23450</v>
      </c>
    </row>
    <row r="55" spans="1:23" ht="14.25" customHeight="1" thickBot="1">
      <c r="A55" s="14">
        <v>6</v>
      </c>
      <c r="B55" s="14">
        <v>6</v>
      </c>
      <c r="C55" s="14">
        <v>2</v>
      </c>
      <c r="D55" s="14">
        <v>2</v>
      </c>
      <c r="E55" s="32" t="str">
        <f t="shared" si="0"/>
        <v>6622</v>
      </c>
      <c r="F55" s="1607"/>
      <c r="G55" s="1648"/>
      <c r="H55" s="1658"/>
      <c r="I55" s="1659"/>
      <c r="J55" s="30" t="s">
        <v>88</v>
      </c>
      <c r="K55" s="27">
        <v>45970</v>
      </c>
      <c r="L55" s="28">
        <v>80880</v>
      </c>
      <c r="M55" s="28">
        <v>79040</v>
      </c>
      <c r="N55" s="31">
        <v>126850</v>
      </c>
      <c r="O55" s="31">
        <v>159920</v>
      </c>
      <c r="P55" s="81">
        <f t="shared" si="1"/>
        <v>125010</v>
      </c>
      <c r="Q55" s="58">
        <v>205890</v>
      </c>
      <c r="R55" s="135">
        <v>41700</v>
      </c>
      <c r="S55" s="47">
        <v>31280</v>
      </c>
      <c r="T55" s="47">
        <v>20850</v>
      </c>
      <c r="U55" s="48">
        <v>18390</v>
      </c>
      <c r="V55" s="48">
        <v>20220</v>
      </c>
      <c r="W55" s="49">
        <v>27150</v>
      </c>
    </row>
    <row r="56" spans="1:23">
      <c r="A56" s="14">
        <v>5</v>
      </c>
      <c r="B56" s="14">
        <v>6</v>
      </c>
      <c r="C56" s="14">
        <v>5</v>
      </c>
      <c r="D56" s="14">
        <v>1</v>
      </c>
      <c r="E56" s="32" t="str">
        <f t="shared" si="0"/>
        <v>5651</v>
      </c>
      <c r="F56" s="1626" t="s">
        <v>111</v>
      </c>
      <c r="G56" s="1638" t="s">
        <v>112</v>
      </c>
      <c r="H56" s="1608" t="s">
        <v>98</v>
      </c>
      <c r="I56" s="1608"/>
      <c r="J56" s="1609"/>
      <c r="K56" s="99">
        <v>33630</v>
      </c>
      <c r="L56" s="100">
        <v>53800</v>
      </c>
      <c r="M56" s="100">
        <v>47080</v>
      </c>
      <c r="N56" s="100">
        <v>87430</v>
      </c>
      <c r="O56" s="100">
        <v>100880</v>
      </c>
      <c r="P56" s="95">
        <f t="shared" si="1"/>
        <v>80710</v>
      </c>
      <c r="Q56" s="136">
        <v>134510</v>
      </c>
      <c r="R56" s="137">
        <v>26900</v>
      </c>
      <c r="S56" s="100">
        <v>20180</v>
      </c>
      <c r="T56" s="100">
        <v>13450</v>
      </c>
      <c r="U56" s="100">
        <v>13450</v>
      </c>
      <c r="V56" s="100">
        <v>13450</v>
      </c>
      <c r="W56" s="101">
        <v>13450</v>
      </c>
    </row>
    <row r="57" spans="1:23" ht="12" customHeight="1">
      <c r="A57" s="14">
        <v>5</v>
      </c>
      <c r="B57" s="14">
        <v>6</v>
      </c>
      <c r="C57" s="14">
        <v>5</v>
      </c>
      <c r="D57" s="14">
        <v>6</v>
      </c>
      <c r="E57" s="32" t="str">
        <f t="shared" si="0"/>
        <v>5656</v>
      </c>
      <c r="F57" s="1606"/>
      <c r="G57" s="1615"/>
      <c r="H57" s="1617" t="s">
        <v>85</v>
      </c>
      <c r="I57" s="1617"/>
      <c r="J57" s="1618"/>
      <c r="K57" s="89">
        <v>1030</v>
      </c>
      <c r="L57" s="90">
        <v>1640</v>
      </c>
      <c r="M57" s="90">
        <v>1440</v>
      </c>
      <c r="N57" s="90">
        <v>2670</v>
      </c>
      <c r="O57" s="90">
        <v>3080</v>
      </c>
      <c r="P57" s="62">
        <f t="shared" si="1"/>
        <v>2470</v>
      </c>
      <c r="Q57" s="138">
        <v>4110</v>
      </c>
      <c r="R57" s="139">
        <v>820</v>
      </c>
      <c r="S57" s="90">
        <v>620</v>
      </c>
      <c r="T57" s="90">
        <v>410</v>
      </c>
      <c r="U57" s="90">
        <v>410</v>
      </c>
      <c r="V57" s="90">
        <v>410</v>
      </c>
      <c r="W57" s="91">
        <v>410</v>
      </c>
    </row>
    <row r="58" spans="1:23">
      <c r="A58" s="14">
        <v>5</v>
      </c>
      <c r="B58" s="14">
        <v>6</v>
      </c>
      <c r="C58" s="14">
        <v>5</v>
      </c>
      <c r="D58" s="14">
        <v>7</v>
      </c>
      <c r="E58" s="32" t="str">
        <f t="shared" si="0"/>
        <v>5657</v>
      </c>
      <c r="F58" s="1606"/>
      <c r="G58" s="1615"/>
      <c r="H58" s="1617" t="s">
        <v>84</v>
      </c>
      <c r="I58" s="1617"/>
      <c r="J58" s="1618"/>
      <c r="K58" s="89">
        <v>500</v>
      </c>
      <c r="L58" s="90">
        <v>800</v>
      </c>
      <c r="M58" s="90">
        <v>700</v>
      </c>
      <c r="N58" s="90">
        <v>1300</v>
      </c>
      <c r="O58" s="90">
        <v>1500</v>
      </c>
      <c r="P58" s="62">
        <f t="shared" si="1"/>
        <v>1200</v>
      </c>
      <c r="Q58" s="138">
        <v>2000</v>
      </c>
      <c r="R58" s="139">
        <v>400</v>
      </c>
      <c r="S58" s="90">
        <v>300</v>
      </c>
      <c r="T58" s="90">
        <v>200</v>
      </c>
      <c r="U58" s="90">
        <v>200</v>
      </c>
      <c r="V58" s="90">
        <v>200</v>
      </c>
      <c r="W58" s="91">
        <v>200</v>
      </c>
    </row>
    <row r="59" spans="1:23" ht="14.25" customHeight="1" thickBot="1">
      <c r="A59" s="14">
        <v>5</v>
      </c>
      <c r="B59" s="14">
        <v>6</v>
      </c>
      <c r="C59" s="14">
        <v>5</v>
      </c>
      <c r="D59" s="14">
        <v>2</v>
      </c>
      <c r="E59" s="32" t="str">
        <f t="shared" si="0"/>
        <v>5652</v>
      </c>
      <c r="F59" s="1607"/>
      <c r="G59" s="29" t="s">
        <v>113</v>
      </c>
      <c r="H59" s="1660" t="s">
        <v>108</v>
      </c>
      <c r="I59" s="1661"/>
      <c r="J59" s="1662"/>
      <c r="K59" s="27">
        <v>16820</v>
      </c>
      <c r="L59" s="28">
        <v>26900</v>
      </c>
      <c r="M59" s="28">
        <v>23540</v>
      </c>
      <c r="N59" s="28">
        <v>43720</v>
      </c>
      <c r="O59" s="28">
        <v>50440</v>
      </c>
      <c r="P59" s="81">
        <f t="shared" si="1"/>
        <v>40360</v>
      </c>
      <c r="Q59" s="59">
        <v>67260</v>
      </c>
      <c r="R59" s="140">
        <v>20180</v>
      </c>
      <c r="S59" s="141">
        <v>15140</v>
      </c>
      <c r="T59" s="141">
        <v>10090</v>
      </c>
      <c r="U59" s="141">
        <v>6730</v>
      </c>
      <c r="V59" s="141">
        <v>6730</v>
      </c>
      <c r="W59" s="142">
        <v>10090</v>
      </c>
    </row>
    <row r="61" spans="1:23">
      <c r="H61" s="6"/>
      <c r="I61" s="6"/>
      <c r="J61" s="6"/>
      <c r="K61" s="5"/>
      <c r="L61" s="5"/>
      <c r="M61" s="5"/>
      <c r="N61" s="5"/>
      <c r="O61" s="5"/>
      <c r="P61" s="5"/>
      <c r="Q61" s="5"/>
    </row>
  </sheetData>
  <mergeCells count="60">
    <mergeCell ref="R2:T2"/>
    <mergeCell ref="U2:U3"/>
    <mergeCell ref="V2:V3"/>
    <mergeCell ref="G36:G43"/>
    <mergeCell ref="H36:H43"/>
    <mergeCell ref="I36:I37"/>
    <mergeCell ref="I38:I39"/>
    <mergeCell ref="I40:I41"/>
    <mergeCell ref="I42:I43"/>
    <mergeCell ref="G5:G14"/>
    <mergeCell ref="I15:I16"/>
    <mergeCell ref="I19:I20"/>
    <mergeCell ref="I17:I18"/>
    <mergeCell ref="I28:I29"/>
    <mergeCell ref="I30:I31"/>
    <mergeCell ref="G26:G35"/>
    <mergeCell ref="F56:F59"/>
    <mergeCell ref="H50:I51"/>
    <mergeCell ref="H54:I55"/>
    <mergeCell ref="H59:J59"/>
    <mergeCell ref="G56:G58"/>
    <mergeCell ref="H57:J57"/>
    <mergeCell ref="H58:J58"/>
    <mergeCell ref="G48:G49"/>
    <mergeCell ref="G44:G47"/>
    <mergeCell ref="H48:I49"/>
    <mergeCell ref="F44:F55"/>
    <mergeCell ref="H52:J52"/>
    <mergeCell ref="H53:J53"/>
    <mergeCell ref="G50:G53"/>
    <mergeCell ref="G54:G55"/>
    <mergeCell ref="H44:I45"/>
    <mergeCell ref="G23:G25"/>
    <mergeCell ref="H15:H22"/>
    <mergeCell ref="I21:I22"/>
    <mergeCell ref="G15:G22"/>
    <mergeCell ref="H23:J23"/>
    <mergeCell ref="H24:J24"/>
    <mergeCell ref="H25:J25"/>
    <mergeCell ref="I32:I33"/>
    <mergeCell ref="H34:J34"/>
    <mergeCell ref="H35:J35"/>
    <mergeCell ref="I26:I27"/>
    <mergeCell ref="F26:F43"/>
    <mergeCell ref="R4:W4"/>
    <mergeCell ref="K4:Q4"/>
    <mergeCell ref="F4:H4"/>
    <mergeCell ref="F5:F22"/>
    <mergeCell ref="H56:J56"/>
    <mergeCell ref="H13:J13"/>
    <mergeCell ref="H14:J14"/>
    <mergeCell ref="I5:I6"/>
    <mergeCell ref="I7:I8"/>
    <mergeCell ref="I9:I10"/>
    <mergeCell ref="I11:I12"/>
    <mergeCell ref="H5:H12"/>
    <mergeCell ref="H46:J46"/>
    <mergeCell ref="H47:J47"/>
    <mergeCell ref="F23:F25"/>
    <mergeCell ref="H26:H33"/>
  </mergeCells>
  <phoneticPr fontId="4"/>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
  <dimension ref="A1:E108"/>
  <sheetViews>
    <sheetView workbookViewId="0">
      <selection activeCell="H26" sqref="A23:AJ43"/>
    </sheetView>
  </sheetViews>
  <sheetFormatPr defaultRowHeight="13.5"/>
  <cols>
    <col min="1" max="1" width="11.625" style="414" bestFit="1" customWidth="1"/>
    <col min="2" max="2" width="3.375" style="415" bestFit="1" customWidth="1"/>
    <col min="3" max="3" width="13" bestFit="1" customWidth="1"/>
    <col min="5" max="5" width="11.625" style="431" bestFit="1" customWidth="1"/>
    <col min="6" max="6" width="3.375" bestFit="1" customWidth="1"/>
    <col min="9" max="9" width="11.625" bestFit="1" customWidth="1"/>
    <col min="13" max="13" width="11.625" bestFit="1" customWidth="1"/>
  </cols>
  <sheetData>
    <row r="1" spans="1:3">
      <c r="A1" s="432">
        <v>46141</v>
      </c>
      <c r="B1" s="433">
        <f t="shared" ref="B1:B19" si="0">A1</f>
        <v>46141</v>
      </c>
      <c r="C1" s="434" t="s">
        <v>138</v>
      </c>
    </row>
    <row r="2" spans="1:3">
      <c r="A2" s="432">
        <v>46145</v>
      </c>
      <c r="B2" s="433">
        <f t="shared" si="0"/>
        <v>46145</v>
      </c>
      <c r="C2" s="434" t="s">
        <v>139</v>
      </c>
    </row>
    <row r="3" spans="1:3">
      <c r="A3" s="432">
        <v>46146</v>
      </c>
      <c r="B3" s="433">
        <f t="shared" si="0"/>
        <v>46146</v>
      </c>
      <c r="C3" s="434" t="s">
        <v>140</v>
      </c>
    </row>
    <row r="4" spans="1:3">
      <c r="A4" s="432">
        <v>46147</v>
      </c>
      <c r="B4" s="433">
        <f t="shared" si="0"/>
        <v>46147</v>
      </c>
      <c r="C4" s="434" t="s">
        <v>141</v>
      </c>
    </row>
    <row r="5" spans="1:3">
      <c r="A5" s="432">
        <v>46148</v>
      </c>
      <c r="B5" s="433">
        <f t="shared" si="0"/>
        <v>46148</v>
      </c>
      <c r="C5" s="434" t="s">
        <v>142</v>
      </c>
    </row>
    <row r="6" spans="1:3">
      <c r="A6" s="432">
        <v>46223</v>
      </c>
      <c r="B6" s="433">
        <f t="shared" si="0"/>
        <v>46223</v>
      </c>
      <c r="C6" s="434" t="s">
        <v>143</v>
      </c>
    </row>
    <row r="7" spans="1:3">
      <c r="A7" s="432">
        <v>46245</v>
      </c>
      <c r="B7" s="433">
        <f t="shared" si="0"/>
        <v>46245</v>
      </c>
      <c r="C7" s="434" t="s">
        <v>144</v>
      </c>
    </row>
    <row r="8" spans="1:3">
      <c r="A8" s="432">
        <v>46286</v>
      </c>
      <c r="B8" s="433">
        <f t="shared" si="0"/>
        <v>46286</v>
      </c>
      <c r="C8" s="434" t="s">
        <v>145</v>
      </c>
    </row>
    <row r="9" spans="1:3">
      <c r="A9" s="432">
        <v>46287</v>
      </c>
      <c r="B9" s="433">
        <f t="shared" si="0"/>
        <v>46287</v>
      </c>
      <c r="C9" s="434" t="s">
        <v>408</v>
      </c>
    </row>
    <row r="10" spans="1:3">
      <c r="A10" s="432">
        <v>46288</v>
      </c>
      <c r="B10" s="433">
        <f t="shared" si="0"/>
        <v>46288</v>
      </c>
      <c r="C10" s="434" t="s">
        <v>146</v>
      </c>
    </row>
    <row r="11" spans="1:3">
      <c r="A11" s="432">
        <v>46307</v>
      </c>
      <c r="B11" s="433">
        <f t="shared" si="0"/>
        <v>46307</v>
      </c>
      <c r="C11" s="434" t="s">
        <v>409</v>
      </c>
    </row>
    <row r="12" spans="1:3">
      <c r="A12" s="432">
        <v>46329</v>
      </c>
      <c r="B12" s="433">
        <f t="shared" si="0"/>
        <v>46329</v>
      </c>
      <c r="C12" s="434" t="s">
        <v>147</v>
      </c>
    </row>
    <row r="13" spans="1:3">
      <c r="A13" s="432">
        <v>46349</v>
      </c>
      <c r="B13" s="433">
        <f t="shared" si="0"/>
        <v>46349</v>
      </c>
      <c r="C13" s="434" t="s">
        <v>148</v>
      </c>
    </row>
    <row r="14" spans="1:3">
      <c r="A14" s="432">
        <v>46388</v>
      </c>
      <c r="B14" s="433">
        <f t="shared" si="0"/>
        <v>46388</v>
      </c>
      <c r="C14" s="434" t="s">
        <v>134</v>
      </c>
    </row>
    <row r="15" spans="1:3">
      <c r="A15" s="432">
        <v>46398</v>
      </c>
      <c r="B15" s="433">
        <f t="shared" si="0"/>
        <v>46398</v>
      </c>
      <c r="C15" s="434" t="s">
        <v>135</v>
      </c>
    </row>
    <row r="16" spans="1:3">
      <c r="A16" s="432">
        <v>46429</v>
      </c>
      <c r="B16" s="433">
        <f t="shared" si="0"/>
        <v>46429</v>
      </c>
      <c r="C16" s="434" t="s">
        <v>136</v>
      </c>
    </row>
    <row r="17" spans="1:3">
      <c r="A17" s="432">
        <v>46441</v>
      </c>
      <c r="B17" s="433">
        <f t="shared" si="0"/>
        <v>46441</v>
      </c>
      <c r="C17" s="434" t="s">
        <v>149</v>
      </c>
    </row>
    <row r="18" spans="1:3">
      <c r="A18" s="432">
        <v>46467</v>
      </c>
      <c r="B18" s="433">
        <f t="shared" si="0"/>
        <v>46467</v>
      </c>
      <c r="C18" s="434" t="s">
        <v>137</v>
      </c>
    </row>
    <row r="19" spans="1:3">
      <c r="A19" s="432">
        <v>46468</v>
      </c>
      <c r="B19" s="433">
        <f t="shared" si="0"/>
        <v>46468</v>
      </c>
      <c r="C19" s="434" t="s">
        <v>142</v>
      </c>
    </row>
    <row r="20" spans="1:3">
      <c r="A20" s="435">
        <v>46506</v>
      </c>
      <c r="B20" s="436" t="s">
        <v>411</v>
      </c>
      <c r="C20" s="436" t="s">
        <v>138</v>
      </c>
    </row>
    <row r="21" spans="1:3">
      <c r="A21" s="435">
        <v>46510</v>
      </c>
      <c r="B21" s="436" t="s">
        <v>412</v>
      </c>
      <c r="C21" s="436" t="s">
        <v>139</v>
      </c>
    </row>
    <row r="22" spans="1:3">
      <c r="A22" s="435">
        <v>46511</v>
      </c>
      <c r="B22" s="436" t="s">
        <v>413</v>
      </c>
      <c r="C22" s="436" t="s">
        <v>140</v>
      </c>
    </row>
    <row r="23" spans="1:3">
      <c r="A23" s="435">
        <v>46512</v>
      </c>
      <c r="B23" s="436" t="s">
        <v>414</v>
      </c>
      <c r="C23" s="436" t="s">
        <v>141</v>
      </c>
    </row>
    <row r="24" spans="1:3">
      <c r="A24" s="435">
        <v>46587</v>
      </c>
      <c r="B24" s="436" t="s">
        <v>412</v>
      </c>
      <c r="C24" s="436" t="s">
        <v>143</v>
      </c>
    </row>
    <row r="25" spans="1:3">
      <c r="A25" s="435">
        <v>46610</v>
      </c>
      <c r="B25" s="436" t="s">
        <v>414</v>
      </c>
      <c r="C25" s="436" t="s">
        <v>144</v>
      </c>
    </row>
    <row r="26" spans="1:3">
      <c r="A26" s="435">
        <v>46650</v>
      </c>
      <c r="B26" s="436" t="s">
        <v>412</v>
      </c>
      <c r="C26" s="436" t="s">
        <v>145</v>
      </c>
    </row>
    <row r="27" spans="1:3">
      <c r="A27" s="435">
        <v>46653</v>
      </c>
      <c r="B27" s="436" t="s">
        <v>411</v>
      </c>
      <c r="C27" s="436" t="s">
        <v>146</v>
      </c>
    </row>
    <row r="28" spans="1:3">
      <c r="A28" s="435">
        <v>46671</v>
      </c>
      <c r="B28" s="436" t="s">
        <v>412</v>
      </c>
      <c r="C28" s="436" t="s">
        <v>409</v>
      </c>
    </row>
    <row r="29" spans="1:3">
      <c r="A29" s="435">
        <v>46694</v>
      </c>
      <c r="B29" s="436" t="s">
        <v>414</v>
      </c>
      <c r="C29" s="436" t="s">
        <v>147</v>
      </c>
    </row>
    <row r="30" spans="1:3">
      <c r="A30" s="435">
        <v>46714</v>
      </c>
      <c r="B30" s="436" t="s">
        <v>413</v>
      </c>
      <c r="C30" s="436" t="s">
        <v>148</v>
      </c>
    </row>
    <row r="31" spans="1:3">
      <c r="A31" s="435">
        <v>46753</v>
      </c>
      <c r="B31" s="436" t="s">
        <v>415</v>
      </c>
      <c r="C31" s="436" t="s">
        <v>134</v>
      </c>
    </row>
    <row r="32" spans="1:3">
      <c r="A32" s="435">
        <v>46762</v>
      </c>
      <c r="B32" s="436" t="s">
        <v>412</v>
      </c>
      <c r="C32" s="436" t="s">
        <v>135</v>
      </c>
    </row>
    <row r="33" spans="1:3">
      <c r="A33" s="435">
        <v>46794</v>
      </c>
      <c r="B33" s="436" t="s">
        <v>416</v>
      </c>
      <c r="C33" s="436" t="s">
        <v>136</v>
      </c>
    </row>
    <row r="34" spans="1:3">
      <c r="A34" s="435">
        <v>46806</v>
      </c>
      <c r="B34" s="436" t="s">
        <v>414</v>
      </c>
      <c r="C34" s="436" t="s">
        <v>149</v>
      </c>
    </row>
    <row r="35" spans="1:3">
      <c r="A35" s="435">
        <v>46832</v>
      </c>
      <c r="B35" s="436" t="s">
        <v>412</v>
      </c>
      <c r="C35" s="436" t="s">
        <v>137</v>
      </c>
    </row>
    <row r="36" spans="1:3">
      <c r="A36" s="437">
        <v>46872</v>
      </c>
      <c r="B36" s="438" t="s">
        <v>415</v>
      </c>
      <c r="C36" s="438" t="s">
        <v>138</v>
      </c>
    </row>
    <row r="37" spans="1:3">
      <c r="A37" s="437">
        <v>46876</v>
      </c>
      <c r="B37" s="438" t="s">
        <v>414</v>
      </c>
      <c r="C37" s="438" t="s">
        <v>139</v>
      </c>
    </row>
    <row r="38" spans="1:3">
      <c r="A38" s="437">
        <v>46877</v>
      </c>
      <c r="B38" s="438" t="s">
        <v>411</v>
      </c>
      <c r="C38" s="438" t="s">
        <v>140</v>
      </c>
    </row>
    <row r="39" spans="1:3">
      <c r="A39" s="437">
        <v>46878</v>
      </c>
      <c r="B39" s="438" t="s">
        <v>416</v>
      </c>
      <c r="C39" s="438" t="s">
        <v>141</v>
      </c>
    </row>
    <row r="40" spans="1:3">
      <c r="A40" s="437">
        <v>46951</v>
      </c>
      <c r="B40" s="438" t="s">
        <v>412</v>
      </c>
      <c r="C40" s="438" t="s">
        <v>143</v>
      </c>
    </row>
    <row r="41" spans="1:3">
      <c r="A41" s="437">
        <v>46976</v>
      </c>
      <c r="B41" s="438" t="s">
        <v>416</v>
      </c>
      <c r="C41" s="438" t="s">
        <v>144</v>
      </c>
    </row>
    <row r="42" spans="1:3">
      <c r="A42" s="437">
        <v>47014</v>
      </c>
      <c r="B42" s="438" t="s">
        <v>412</v>
      </c>
      <c r="C42" s="438" t="s">
        <v>145</v>
      </c>
    </row>
    <row r="43" spans="1:3">
      <c r="A43" s="437">
        <v>47018</v>
      </c>
      <c r="B43" s="438" t="s">
        <v>416</v>
      </c>
      <c r="C43" s="438" t="s">
        <v>146</v>
      </c>
    </row>
    <row r="44" spans="1:3">
      <c r="A44" s="437">
        <v>47035</v>
      </c>
      <c r="B44" s="438" t="s">
        <v>412</v>
      </c>
      <c r="C44" s="438" t="s">
        <v>409</v>
      </c>
    </row>
    <row r="45" spans="1:3">
      <c r="A45" s="437">
        <v>47060</v>
      </c>
      <c r="B45" s="438" t="s">
        <v>416</v>
      </c>
      <c r="C45" s="438" t="s">
        <v>147</v>
      </c>
    </row>
    <row r="46" spans="1:3">
      <c r="A46" s="437">
        <v>47080</v>
      </c>
      <c r="B46" s="438" t="s">
        <v>411</v>
      </c>
      <c r="C46" s="438" t="s">
        <v>148</v>
      </c>
    </row>
    <row r="47" spans="1:3">
      <c r="A47" s="437">
        <v>47119</v>
      </c>
      <c r="B47" s="438" t="s">
        <v>412</v>
      </c>
      <c r="C47" s="438" t="s">
        <v>134</v>
      </c>
    </row>
    <row r="48" spans="1:3">
      <c r="A48" s="437">
        <v>47126</v>
      </c>
      <c r="B48" s="438" t="s">
        <v>412</v>
      </c>
      <c r="C48" s="438" t="s">
        <v>135</v>
      </c>
    </row>
    <row r="49" spans="1:3">
      <c r="A49" s="437">
        <v>47160</v>
      </c>
      <c r="B49" s="438" t="s">
        <v>417</v>
      </c>
      <c r="C49" s="438" t="s">
        <v>136</v>
      </c>
    </row>
    <row r="50" spans="1:3">
      <c r="A50" s="437">
        <v>47161</v>
      </c>
      <c r="B50" s="438" t="s">
        <v>412</v>
      </c>
      <c r="C50" s="438" t="s">
        <v>142</v>
      </c>
    </row>
    <row r="51" spans="1:3">
      <c r="A51" s="437">
        <v>47172</v>
      </c>
      <c r="B51" s="438" t="s">
        <v>416</v>
      </c>
      <c r="C51" s="438" t="s">
        <v>149</v>
      </c>
    </row>
    <row r="52" spans="1:3">
      <c r="A52" s="437">
        <v>47197</v>
      </c>
      <c r="B52" s="438" t="s">
        <v>413</v>
      </c>
      <c r="C52" s="438" t="s">
        <v>137</v>
      </c>
    </row>
    <row r="53" spans="1:3">
      <c r="A53" s="439">
        <v>47237</v>
      </c>
      <c r="B53" s="440" t="s">
        <v>417</v>
      </c>
      <c r="C53" s="440" t="s">
        <v>138</v>
      </c>
    </row>
    <row r="54" spans="1:3">
      <c r="A54" s="439">
        <v>47238</v>
      </c>
      <c r="B54" s="440" t="s">
        <v>412</v>
      </c>
      <c r="C54" s="440" t="s">
        <v>142</v>
      </c>
    </row>
    <row r="55" spans="1:3">
      <c r="A55" s="439">
        <v>47241</v>
      </c>
      <c r="B55" s="440" t="s">
        <v>411</v>
      </c>
      <c r="C55" s="440" t="s">
        <v>139</v>
      </c>
    </row>
    <row r="56" spans="1:3">
      <c r="A56" s="439">
        <v>47242</v>
      </c>
      <c r="B56" s="440" t="s">
        <v>416</v>
      </c>
      <c r="C56" s="440" t="s">
        <v>140</v>
      </c>
    </row>
    <row r="57" spans="1:3">
      <c r="A57" s="439">
        <v>47243</v>
      </c>
      <c r="B57" s="440" t="s">
        <v>415</v>
      </c>
      <c r="C57" s="440" t="s">
        <v>141</v>
      </c>
    </row>
    <row r="58" spans="1:3">
      <c r="A58" s="439">
        <v>47315</v>
      </c>
      <c r="B58" s="440" t="s">
        <v>412</v>
      </c>
      <c r="C58" s="440" t="s">
        <v>143</v>
      </c>
    </row>
    <row r="59" spans="1:3">
      <c r="A59" s="439">
        <v>47341</v>
      </c>
      <c r="B59" s="440" t="s">
        <v>415</v>
      </c>
      <c r="C59" s="440" t="s">
        <v>144</v>
      </c>
    </row>
    <row r="60" spans="1:3">
      <c r="A60" s="439">
        <v>47378</v>
      </c>
      <c r="B60" s="440" t="s">
        <v>412</v>
      </c>
      <c r="C60" s="440" t="s">
        <v>145</v>
      </c>
    </row>
    <row r="61" spans="1:3">
      <c r="A61" s="439">
        <v>47384</v>
      </c>
      <c r="B61" s="440" t="s">
        <v>417</v>
      </c>
      <c r="C61" s="440" t="s">
        <v>146</v>
      </c>
    </row>
    <row r="62" spans="1:3">
      <c r="A62" s="439">
        <v>47385</v>
      </c>
      <c r="B62" s="440" t="s">
        <v>412</v>
      </c>
      <c r="C62" s="440" t="s">
        <v>142</v>
      </c>
    </row>
    <row r="63" spans="1:3">
      <c r="A63" s="439">
        <v>47399</v>
      </c>
      <c r="B63" s="440" t="s">
        <v>412</v>
      </c>
      <c r="C63" s="440" t="s">
        <v>409</v>
      </c>
    </row>
    <row r="64" spans="1:3">
      <c r="A64" s="439">
        <v>47425</v>
      </c>
      <c r="B64" s="440" t="s">
        <v>415</v>
      </c>
      <c r="C64" s="440" t="s">
        <v>147</v>
      </c>
    </row>
    <row r="65" spans="1:3">
      <c r="A65" s="439">
        <v>47445</v>
      </c>
      <c r="B65" s="440" t="s">
        <v>416</v>
      </c>
      <c r="C65" s="440" t="s">
        <v>148</v>
      </c>
    </row>
    <row r="66" spans="1:3">
      <c r="A66" s="439">
        <v>47484</v>
      </c>
      <c r="B66" s="440" t="s">
        <v>413</v>
      </c>
      <c r="C66" s="440" t="s">
        <v>134</v>
      </c>
    </row>
    <row r="67" spans="1:3">
      <c r="A67" s="439">
        <v>47497</v>
      </c>
      <c r="B67" s="440" t="s">
        <v>412</v>
      </c>
      <c r="C67" s="440" t="s">
        <v>135</v>
      </c>
    </row>
    <row r="68" spans="1:3">
      <c r="A68" s="439">
        <v>47525</v>
      </c>
      <c r="B68" s="440" t="s">
        <v>412</v>
      </c>
      <c r="C68" s="440" t="s">
        <v>136</v>
      </c>
    </row>
    <row r="69" spans="1:3">
      <c r="A69" s="439">
        <v>47537</v>
      </c>
      <c r="B69" s="440" t="s">
        <v>415</v>
      </c>
      <c r="C69" s="440" t="s">
        <v>149</v>
      </c>
    </row>
    <row r="70" spans="1:3">
      <c r="A70" s="439">
        <v>47562</v>
      </c>
      <c r="B70" s="440" t="s">
        <v>414</v>
      </c>
      <c r="C70" s="440" t="s">
        <v>137</v>
      </c>
    </row>
    <row r="71" spans="1:3">
      <c r="A71" s="441">
        <v>47602</v>
      </c>
      <c r="B71" s="442" t="s">
        <v>412</v>
      </c>
      <c r="C71" s="442" t="s">
        <v>138</v>
      </c>
    </row>
    <row r="72" spans="1:3">
      <c r="A72" s="441">
        <v>47606</v>
      </c>
      <c r="B72" s="442" t="s">
        <v>416</v>
      </c>
      <c r="C72" s="442" t="s">
        <v>139</v>
      </c>
    </row>
    <row r="73" spans="1:3">
      <c r="A73" s="441">
        <v>47607</v>
      </c>
      <c r="B73" s="442" t="s">
        <v>415</v>
      </c>
      <c r="C73" s="442" t="s">
        <v>140</v>
      </c>
    </row>
    <row r="74" spans="1:3">
      <c r="A74" s="441">
        <v>47608</v>
      </c>
      <c r="B74" s="442" t="s">
        <v>417</v>
      </c>
      <c r="C74" s="442" t="s">
        <v>141</v>
      </c>
    </row>
    <row r="75" spans="1:3">
      <c r="A75" s="441">
        <v>47609</v>
      </c>
      <c r="B75" s="442" t="s">
        <v>412</v>
      </c>
      <c r="C75" s="442" t="s">
        <v>142</v>
      </c>
    </row>
    <row r="76" spans="1:3">
      <c r="A76" s="441">
        <v>47679</v>
      </c>
      <c r="B76" s="442" t="s">
        <v>412</v>
      </c>
      <c r="C76" s="442" t="s">
        <v>143</v>
      </c>
    </row>
    <row r="77" spans="1:3">
      <c r="A77" s="441">
        <v>47706</v>
      </c>
      <c r="B77" s="442" t="s">
        <v>417</v>
      </c>
      <c r="C77" s="442" t="s">
        <v>144</v>
      </c>
    </row>
    <row r="78" spans="1:3">
      <c r="A78" s="441">
        <v>47707</v>
      </c>
      <c r="B78" s="442" t="s">
        <v>412</v>
      </c>
      <c r="C78" s="442" t="s">
        <v>142</v>
      </c>
    </row>
    <row r="79" spans="1:3">
      <c r="A79" s="441">
        <v>47742</v>
      </c>
      <c r="B79" s="442" t="s">
        <v>412</v>
      </c>
      <c r="C79" s="442" t="s">
        <v>145</v>
      </c>
    </row>
    <row r="80" spans="1:3">
      <c r="A80" s="441">
        <v>47749</v>
      </c>
      <c r="B80" s="442" t="s">
        <v>412</v>
      </c>
      <c r="C80" s="442" t="s">
        <v>146</v>
      </c>
    </row>
    <row r="81" spans="1:3">
      <c r="A81" s="441">
        <v>47770</v>
      </c>
      <c r="B81" s="442" t="s">
        <v>412</v>
      </c>
      <c r="C81" s="442" t="s">
        <v>409</v>
      </c>
    </row>
    <row r="82" spans="1:3">
      <c r="A82" s="441">
        <v>47790</v>
      </c>
      <c r="B82" s="442" t="s">
        <v>417</v>
      </c>
      <c r="C82" s="442" t="s">
        <v>147</v>
      </c>
    </row>
    <row r="83" spans="1:3">
      <c r="A83" s="441">
        <v>47791</v>
      </c>
      <c r="B83" s="442" t="s">
        <v>412</v>
      </c>
      <c r="C83" s="442" t="s">
        <v>142</v>
      </c>
    </row>
    <row r="84" spans="1:3">
      <c r="A84" s="441">
        <v>47810</v>
      </c>
      <c r="B84" s="442" t="s">
        <v>415</v>
      </c>
      <c r="C84" s="442" t="s">
        <v>148</v>
      </c>
    </row>
    <row r="85" spans="1:3">
      <c r="A85" s="441">
        <v>47849</v>
      </c>
      <c r="B85" s="442" t="s">
        <v>414</v>
      </c>
      <c r="C85" s="442" t="s">
        <v>134</v>
      </c>
    </row>
    <row r="86" spans="1:3">
      <c r="A86" s="441">
        <v>47861</v>
      </c>
      <c r="B86" s="442" t="s">
        <v>412</v>
      </c>
      <c r="C86" s="442" t="s">
        <v>135</v>
      </c>
    </row>
    <row r="87" spans="1:3">
      <c r="A87" s="441">
        <v>47890</v>
      </c>
      <c r="B87" s="442" t="s">
        <v>413</v>
      </c>
      <c r="C87" s="442" t="s">
        <v>136</v>
      </c>
    </row>
    <row r="88" spans="1:3">
      <c r="A88" s="441">
        <v>47902</v>
      </c>
      <c r="B88" s="442" t="s">
        <v>417</v>
      </c>
      <c r="C88" s="442" t="s">
        <v>149</v>
      </c>
    </row>
    <row r="89" spans="1:3">
      <c r="A89" s="441">
        <v>47903</v>
      </c>
      <c r="B89" s="442" t="s">
        <v>412</v>
      </c>
      <c r="C89" s="442" t="s">
        <v>142</v>
      </c>
    </row>
    <row r="90" spans="1:3">
      <c r="A90" s="441">
        <v>47928</v>
      </c>
      <c r="B90" s="442" t="s">
        <v>416</v>
      </c>
      <c r="C90" s="442" t="s">
        <v>137</v>
      </c>
    </row>
    <row r="91" spans="1:3">
      <c r="A91" s="443">
        <v>47967</v>
      </c>
      <c r="B91" s="444" t="s">
        <v>413</v>
      </c>
      <c r="C91" s="444" t="s">
        <v>138</v>
      </c>
    </row>
    <row r="92" spans="1:3">
      <c r="A92" s="443">
        <v>47971</v>
      </c>
      <c r="B92" s="444" t="s">
        <v>415</v>
      </c>
      <c r="C92" s="444" t="s">
        <v>139</v>
      </c>
    </row>
    <row r="93" spans="1:3">
      <c r="A93" s="443">
        <v>47972</v>
      </c>
      <c r="B93" s="444" t="s">
        <v>417</v>
      </c>
      <c r="C93" s="444" t="s">
        <v>140</v>
      </c>
    </row>
    <row r="94" spans="1:3">
      <c r="A94" s="443">
        <v>47973</v>
      </c>
      <c r="B94" s="444" t="s">
        <v>412</v>
      </c>
      <c r="C94" s="444" t="s">
        <v>141</v>
      </c>
    </row>
    <row r="95" spans="1:3">
      <c r="A95" s="443">
        <v>47974</v>
      </c>
      <c r="B95" s="444" t="s">
        <v>413</v>
      </c>
      <c r="C95" s="444" t="s">
        <v>142</v>
      </c>
    </row>
    <row r="96" spans="1:3">
      <c r="A96" s="443">
        <v>48050</v>
      </c>
      <c r="B96" s="444" t="s">
        <v>412</v>
      </c>
      <c r="C96" s="444" t="s">
        <v>143</v>
      </c>
    </row>
    <row r="97" spans="1:3">
      <c r="A97" s="443">
        <v>48071</v>
      </c>
      <c r="B97" s="444" t="s">
        <v>412</v>
      </c>
      <c r="C97" s="444" t="s">
        <v>144</v>
      </c>
    </row>
    <row r="98" spans="1:3">
      <c r="A98" s="443">
        <v>48106</v>
      </c>
      <c r="B98" s="444" t="s">
        <v>412</v>
      </c>
      <c r="C98" s="444" t="s">
        <v>145</v>
      </c>
    </row>
    <row r="99" spans="1:3">
      <c r="A99" s="443">
        <v>48114</v>
      </c>
      <c r="B99" s="444" t="s">
        <v>413</v>
      </c>
      <c r="C99" s="444" t="s">
        <v>146</v>
      </c>
    </row>
    <row r="100" spans="1:3">
      <c r="A100" s="443">
        <v>48134</v>
      </c>
      <c r="B100" s="444" t="s">
        <v>412</v>
      </c>
      <c r="C100" s="444" t="s">
        <v>409</v>
      </c>
    </row>
    <row r="101" spans="1:3">
      <c r="A101" s="443">
        <v>48155</v>
      </c>
      <c r="B101" s="444" t="s">
        <v>412</v>
      </c>
      <c r="C101" s="444" t="s">
        <v>147</v>
      </c>
    </row>
    <row r="102" spans="1:3">
      <c r="A102" s="443">
        <v>48175</v>
      </c>
      <c r="B102" s="444" t="s">
        <v>417</v>
      </c>
      <c r="C102" s="444" t="s">
        <v>148</v>
      </c>
    </row>
    <row r="103" spans="1:3">
      <c r="A103" s="443">
        <v>48176</v>
      </c>
      <c r="B103" s="444" t="s">
        <v>412</v>
      </c>
      <c r="C103" s="444" t="s">
        <v>142</v>
      </c>
    </row>
    <row r="104" spans="1:3">
      <c r="A104" s="443">
        <v>48214</v>
      </c>
      <c r="B104" s="444" t="s">
        <v>411</v>
      </c>
      <c r="C104" s="444" t="s">
        <v>134</v>
      </c>
    </row>
    <row r="105" spans="1:3">
      <c r="A105" s="443">
        <v>48225</v>
      </c>
      <c r="B105" s="444" t="s">
        <v>412</v>
      </c>
      <c r="C105" s="444" t="s">
        <v>135</v>
      </c>
    </row>
    <row r="106" spans="1:3">
      <c r="A106" s="443">
        <v>48255</v>
      </c>
      <c r="B106" s="444" t="s">
        <v>414</v>
      </c>
      <c r="C106" s="444" t="s">
        <v>136</v>
      </c>
    </row>
    <row r="107" spans="1:3">
      <c r="A107" s="443">
        <v>48267</v>
      </c>
      <c r="B107" s="444" t="s">
        <v>412</v>
      </c>
      <c r="C107" s="444" t="s">
        <v>149</v>
      </c>
    </row>
    <row r="108" spans="1:3">
      <c r="A108" s="443">
        <v>48293</v>
      </c>
      <c r="B108" s="444" t="s">
        <v>415</v>
      </c>
      <c r="C108" s="444" t="s">
        <v>137</v>
      </c>
    </row>
  </sheetData>
  <phoneticPr fontId="4"/>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56"/>
  <sheetViews>
    <sheetView workbookViewId="0">
      <selection activeCell="AP18" sqref="AP18"/>
    </sheetView>
  </sheetViews>
  <sheetFormatPr defaultColWidth="2.625" defaultRowHeight="12"/>
  <cols>
    <col min="1" max="35" width="2.625" style="204"/>
    <col min="36" max="36" width="1.375" style="204" customWidth="1"/>
    <col min="37" max="16384" width="2.625" style="204"/>
  </cols>
  <sheetData>
    <row r="1" spans="1:36" s="199" customFormat="1" ht="12" customHeight="1">
      <c r="A1" s="143" t="s">
        <v>271</v>
      </c>
      <c r="B1" s="143"/>
      <c r="C1" s="143"/>
      <c r="D1" s="143"/>
      <c r="E1" s="143"/>
      <c r="F1" s="143"/>
      <c r="G1" s="143"/>
      <c r="H1" s="143"/>
      <c r="I1" s="143"/>
      <c r="J1" s="143"/>
      <c r="K1" s="143"/>
      <c r="L1" s="195"/>
      <c r="M1" s="195"/>
      <c r="N1" s="195"/>
      <c r="O1" s="195"/>
      <c r="P1" s="195"/>
      <c r="Q1" s="195"/>
      <c r="R1" s="195"/>
      <c r="S1" s="143"/>
      <c r="T1" s="143"/>
      <c r="U1" s="143"/>
      <c r="V1" s="143"/>
      <c r="W1" s="143"/>
      <c r="X1" s="143"/>
      <c r="Y1" s="143"/>
      <c r="Z1" s="143"/>
      <c r="AA1" s="174"/>
      <c r="AB1" s="767" t="s">
        <v>12</v>
      </c>
      <c r="AC1" s="768"/>
      <c r="AD1" s="769"/>
      <c r="AE1" s="767" t="s">
        <v>13</v>
      </c>
      <c r="AF1" s="768"/>
      <c r="AG1" s="769"/>
      <c r="AH1" s="767" t="s">
        <v>314</v>
      </c>
      <c r="AI1" s="768"/>
      <c r="AJ1" s="769"/>
    </row>
    <row r="2" spans="1:36" s="199" customFormat="1">
      <c r="A2" s="143"/>
      <c r="B2" s="143"/>
      <c r="C2" s="143"/>
      <c r="D2" s="143"/>
      <c r="E2" s="143"/>
      <c r="F2" s="143"/>
      <c r="G2" s="143"/>
      <c r="H2" s="143"/>
      <c r="I2" s="143"/>
      <c r="J2" s="143"/>
      <c r="K2" s="143"/>
      <c r="L2" s="195"/>
      <c r="M2" s="195"/>
      <c r="N2" s="195"/>
      <c r="O2" s="195"/>
      <c r="P2" s="195"/>
      <c r="Q2" s="195"/>
      <c r="R2" s="195"/>
      <c r="S2" s="143"/>
      <c r="T2" s="143"/>
      <c r="U2" s="315"/>
      <c r="V2" s="315"/>
      <c r="W2" s="315"/>
      <c r="X2" s="316"/>
      <c r="Y2" s="316"/>
      <c r="Z2" s="316"/>
      <c r="AA2" s="317"/>
      <c r="AB2" s="770" t="str">
        <f>IF(申込書!AB2&lt;&gt;"",申込書!AB2,"")</f>
        <v/>
      </c>
      <c r="AC2" s="771"/>
      <c r="AD2" s="772"/>
      <c r="AE2" s="779" t="str">
        <f>IF(申込書!AE2&lt;&gt;"",申込書!AE2,"")</f>
        <v/>
      </c>
      <c r="AF2" s="780"/>
      <c r="AG2" s="781"/>
      <c r="AH2" s="779" t="str">
        <f>IF(申込書!AH2&lt;&gt;"",申込書!AH2,"")</f>
        <v/>
      </c>
      <c r="AI2" s="780"/>
      <c r="AJ2" s="781"/>
    </row>
    <row r="3" spans="1:36" s="199" customFormat="1">
      <c r="A3" s="143"/>
      <c r="B3" s="143"/>
      <c r="C3" s="143"/>
      <c r="D3" s="143"/>
      <c r="E3" s="143"/>
      <c r="F3" s="143"/>
      <c r="G3" s="143"/>
      <c r="H3" s="143"/>
      <c r="I3" s="143"/>
      <c r="J3" s="143"/>
      <c r="K3" s="143"/>
      <c r="L3" s="195"/>
      <c r="M3" s="195"/>
      <c r="N3" s="195"/>
      <c r="O3" s="195"/>
      <c r="P3" s="195"/>
      <c r="Q3" s="195"/>
      <c r="R3" s="195"/>
      <c r="S3" s="143"/>
      <c r="T3" s="143"/>
      <c r="U3" s="315"/>
      <c r="V3" s="315"/>
      <c r="W3" s="315"/>
      <c r="X3" s="316"/>
      <c r="Y3" s="316"/>
      <c r="Z3" s="316"/>
      <c r="AA3" s="317"/>
      <c r="AB3" s="773"/>
      <c r="AC3" s="774"/>
      <c r="AD3" s="775"/>
      <c r="AE3" s="782"/>
      <c r="AF3" s="783"/>
      <c r="AG3" s="784"/>
      <c r="AH3" s="782"/>
      <c r="AI3" s="783"/>
      <c r="AJ3" s="784"/>
    </row>
    <row r="4" spans="1:36" s="199" customFormat="1">
      <c r="A4" s="143"/>
      <c r="B4" s="143"/>
      <c r="C4" s="143"/>
      <c r="D4" s="143"/>
      <c r="E4" s="144"/>
      <c r="F4" s="143"/>
      <c r="G4" s="143"/>
      <c r="H4" s="143"/>
      <c r="I4" s="143"/>
      <c r="J4" s="143"/>
      <c r="K4" s="143"/>
      <c r="L4" s="143"/>
      <c r="M4" s="143"/>
      <c r="N4" s="143"/>
      <c r="O4" s="143"/>
      <c r="P4" s="143"/>
      <c r="Q4" s="143"/>
      <c r="R4" s="143"/>
      <c r="S4" s="143"/>
      <c r="T4" s="143"/>
      <c r="U4" s="315"/>
      <c r="V4" s="315"/>
      <c r="W4" s="315"/>
      <c r="X4" s="316"/>
      <c r="Y4" s="316"/>
      <c r="Z4" s="316"/>
      <c r="AA4" s="317"/>
      <c r="AB4" s="776"/>
      <c r="AC4" s="777"/>
      <c r="AD4" s="778"/>
      <c r="AE4" s="785"/>
      <c r="AF4" s="786"/>
      <c r="AG4" s="787"/>
      <c r="AH4" s="785"/>
      <c r="AI4" s="786"/>
      <c r="AJ4" s="787"/>
    </row>
    <row r="5" spans="1:36" s="199" customFormat="1">
      <c r="A5" s="143"/>
      <c r="B5" s="143"/>
      <c r="C5" s="143"/>
      <c r="D5" s="143"/>
      <c r="E5" s="144"/>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row>
    <row r="6" spans="1:36" s="199" customFormat="1" ht="17.25">
      <c r="A6" s="633" t="s">
        <v>294</v>
      </c>
      <c r="B6" s="633"/>
      <c r="C6" s="633"/>
      <c r="D6" s="633"/>
      <c r="E6" s="633"/>
      <c r="F6" s="633"/>
      <c r="G6" s="633"/>
      <c r="H6" s="633"/>
      <c r="I6" s="633"/>
      <c r="J6" s="633"/>
      <c r="K6" s="633"/>
      <c r="L6" s="633"/>
      <c r="M6" s="633"/>
      <c r="N6" s="633"/>
      <c r="O6" s="633"/>
      <c r="P6" s="633"/>
      <c r="Q6" s="633"/>
      <c r="R6" s="633"/>
      <c r="S6" s="633"/>
      <c r="T6" s="633"/>
      <c r="U6" s="633"/>
      <c r="V6" s="633"/>
      <c r="W6" s="633"/>
      <c r="X6" s="633"/>
      <c r="Y6" s="633"/>
      <c r="Z6" s="633"/>
      <c r="AA6" s="633"/>
      <c r="AB6" s="633"/>
      <c r="AC6" s="633"/>
      <c r="AD6" s="633"/>
      <c r="AE6" s="633"/>
      <c r="AF6" s="633"/>
      <c r="AG6" s="633"/>
      <c r="AH6" s="633"/>
      <c r="AI6" s="633"/>
      <c r="AJ6" s="143"/>
    </row>
    <row r="7" spans="1:36" s="199" customFormat="1">
      <c r="A7" s="143"/>
      <c r="B7" s="143"/>
      <c r="C7" s="143"/>
      <c r="D7" s="143"/>
      <c r="E7" s="144"/>
      <c r="F7" s="143"/>
      <c r="G7" s="143"/>
      <c r="H7" s="143"/>
      <c r="I7" s="143"/>
      <c r="J7" s="143"/>
      <c r="K7" s="143"/>
      <c r="L7" s="195"/>
      <c r="M7" s="195"/>
      <c r="N7" s="195"/>
      <c r="O7" s="195"/>
      <c r="P7" s="195"/>
      <c r="Q7" s="195"/>
      <c r="R7" s="195"/>
      <c r="S7" s="143"/>
      <c r="T7" s="143"/>
      <c r="U7" s="143"/>
      <c r="V7" s="143"/>
      <c r="W7" s="143"/>
      <c r="X7" s="143"/>
      <c r="Y7" s="143"/>
      <c r="Z7" s="143"/>
      <c r="AA7" s="143"/>
      <c r="AB7" s="143"/>
      <c r="AC7" s="143"/>
      <c r="AD7" s="143"/>
      <c r="AE7" s="143"/>
      <c r="AF7" s="143"/>
      <c r="AG7" s="143"/>
      <c r="AH7" s="143"/>
      <c r="AI7" s="143"/>
      <c r="AJ7" s="143"/>
    </row>
    <row r="8" spans="1:36" s="199" customFormat="1">
      <c r="A8" s="191"/>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43"/>
    </row>
    <row r="9" spans="1:36" s="199" customFormat="1" ht="15" thickBot="1">
      <c r="A9" s="166" t="s">
        <v>32</v>
      </c>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43"/>
    </row>
    <row r="10" spans="1:36" s="199" customFormat="1" ht="14.25" customHeight="1" thickTop="1">
      <c r="A10" s="799" t="str">
        <f>申込書!A16</f>
        <v>主催団体名</v>
      </c>
      <c r="B10" s="800"/>
      <c r="C10" s="800"/>
      <c r="D10" s="801"/>
      <c r="E10" s="803" t="str">
        <f>IF(申込書!E16="","",申込書!E16)</f>
        <v/>
      </c>
      <c r="F10" s="804"/>
      <c r="G10" s="804"/>
      <c r="H10" s="804"/>
      <c r="I10" s="804"/>
      <c r="J10" s="804"/>
      <c r="K10" s="804"/>
      <c r="L10" s="804"/>
      <c r="M10" s="804"/>
      <c r="N10" s="804"/>
      <c r="O10" s="804"/>
      <c r="P10" s="804"/>
      <c r="Q10" s="804"/>
      <c r="R10" s="804"/>
      <c r="S10" s="804"/>
      <c r="T10" s="804"/>
      <c r="U10" s="804"/>
      <c r="V10" s="804"/>
      <c r="W10" s="804"/>
      <c r="X10" s="804"/>
      <c r="Y10" s="804"/>
      <c r="Z10" s="804"/>
      <c r="AA10" s="804"/>
      <c r="AB10" s="804"/>
      <c r="AC10" s="804"/>
      <c r="AD10" s="804"/>
      <c r="AE10" s="804"/>
      <c r="AF10" s="804"/>
      <c r="AG10" s="804"/>
      <c r="AH10" s="804"/>
      <c r="AI10" s="805"/>
      <c r="AJ10" s="143"/>
    </row>
    <row r="11" spans="1:36" s="199" customFormat="1">
      <c r="A11" s="802"/>
      <c r="B11" s="687"/>
      <c r="C11" s="687"/>
      <c r="D11" s="688"/>
      <c r="E11" s="806"/>
      <c r="F11" s="807"/>
      <c r="G11" s="807"/>
      <c r="H11" s="807"/>
      <c r="I11" s="807"/>
      <c r="J11" s="807"/>
      <c r="K11" s="807"/>
      <c r="L11" s="807"/>
      <c r="M11" s="807"/>
      <c r="N11" s="807"/>
      <c r="O11" s="807"/>
      <c r="P11" s="807"/>
      <c r="Q11" s="807"/>
      <c r="R11" s="807"/>
      <c r="S11" s="807"/>
      <c r="T11" s="807"/>
      <c r="U11" s="807"/>
      <c r="V11" s="807"/>
      <c r="W11" s="807"/>
      <c r="X11" s="807"/>
      <c r="Y11" s="807"/>
      <c r="Z11" s="807"/>
      <c r="AA11" s="807"/>
      <c r="AB11" s="807"/>
      <c r="AC11" s="807"/>
      <c r="AD11" s="807"/>
      <c r="AE11" s="807"/>
      <c r="AF11" s="807"/>
      <c r="AG11" s="807"/>
      <c r="AH11" s="807"/>
      <c r="AI11" s="808"/>
      <c r="AJ11" s="143"/>
    </row>
    <row r="12" spans="1:36" s="199" customFormat="1">
      <c r="A12" s="793" t="str">
        <f>申込書!A22</f>
        <v>所在地
または住所</v>
      </c>
      <c r="B12" s="544"/>
      <c r="C12" s="544"/>
      <c r="D12" s="545"/>
      <c r="E12" s="194" t="s">
        <v>10</v>
      </c>
      <c r="F12" s="615" t="str">
        <f>IF(申込書!F22="","",申込書!F22)</f>
        <v/>
      </c>
      <c r="G12" s="615"/>
      <c r="H12" s="615"/>
      <c r="I12" s="615"/>
      <c r="J12" s="615"/>
      <c r="K12" s="615"/>
      <c r="L12" s="615"/>
      <c r="M12" s="615"/>
      <c r="N12" s="615"/>
      <c r="O12" s="615"/>
      <c r="P12" s="615"/>
      <c r="Q12" s="615"/>
      <c r="R12" s="615"/>
      <c r="S12" s="615"/>
      <c r="T12" s="615"/>
      <c r="U12" s="615"/>
      <c r="V12" s="615"/>
      <c r="W12" s="615"/>
      <c r="X12" s="615"/>
      <c r="Y12" s="615"/>
      <c r="Z12" s="615"/>
      <c r="AA12" s="615"/>
      <c r="AB12" s="615"/>
      <c r="AC12" s="615"/>
      <c r="AD12" s="615"/>
      <c r="AE12" s="615"/>
      <c r="AF12" s="615"/>
      <c r="AG12" s="615"/>
      <c r="AH12" s="615"/>
      <c r="AI12" s="795"/>
      <c r="AJ12" s="143"/>
    </row>
    <row r="13" spans="1:36" s="199" customFormat="1">
      <c r="A13" s="794"/>
      <c r="B13" s="730"/>
      <c r="C13" s="730"/>
      <c r="D13" s="731"/>
      <c r="E13" s="796" t="str">
        <f>IF(申込書!E23="","",申込書!E23)</f>
        <v/>
      </c>
      <c r="F13" s="797"/>
      <c r="G13" s="797"/>
      <c r="H13" s="797"/>
      <c r="I13" s="797"/>
      <c r="J13" s="797"/>
      <c r="K13" s="797"/>
      <c r="L13" s="797"/>
      <c r="M13" s="797"/>
      <c r="N13" s="797"/>
      <c r="O13" s="797"/>
      <c r="P13" s="797"/>
      <c r="Q13" s="797"/>
      <c r="R13" s="797"/>
      <c r="S13" s="797"/>
      <c r="T13" s="797"/>
      <c r="U13" s="797"/>
      <c r="V13" s="797"/>
      <c r="W13" s="797"/>
      <c r="X13" s="797"/>
      <c r="Y13" s="797"/>
      <c r="Z13" s="797"/>
      <c r="AA13" s="797"/>
      <c r="AB13" s="797"/>
      <c r="AC13" s="797"/>
      <c r="AD13" s="797"/>
      <c r="AE13" s="797"/>
      <c r="AF13" s="797"/>
      <c r="AG13" s="797"/>
      <c r="AH13" s="797"/>
      <c r="AI13" s="798"/>
      <c r="AJ13" s="143"/>
    </row>
    <row r="14" spans="1:36" s="199" customFormat="1">
      <c r="A14" s="823" t="str">
        <f>申込書!A24</f>
        <v>催事責任者</v>
      </c>
      <c r="B14" s="564"/>
      <c r="C14" s="564"/>
      <c r="D14" s="565"/>
      <c r="E14" s="563" t="s">
        <v>9</v>
      </c>
      <c r="F14" s="564"/>
      <c r="G14" s="565"/>
      <c r="H14" s="809" t="str">
        <f>IF(申込書!H25="","",申込書!H25)</f>
        <v/>
      </c>
      <c r="I14" s="810"/>
      <c r="J14" s="810"/>
      <c r="K14" s="810"/>
      <c r="L14" s="810"/>
      <c r="M14" s="810"/>
      <c r="N14" s="810"/>
      <c r="O14" s="810"/>
      <c r="P14" s="810"/>
      <c r="Q14" s="810"/>
      <c r="R14" s="810"/>
      <c r="S14" s="811"/>
      <c r="T14" s="689" t="s">
        <v>23</v>
      </c>
      <c r="U14" s="690"/>
      <c r="V14" s="691"/>
      <c r="W14" s="809" t="str">
        <f>IF(申込書!W25="","",申込書!W25)</f>
        <v/>
      </c>
      <c r="X14" s="810"/>
      <c r="Y14" s="810"/>
      <c r="Z14" s="810"/>
      <c r="AA14" s="810"/>
      <c r="AB14" s="810"/>
      <c r="AC14" s="810"/>
      <c r="AD14" s="810"/>
      <c r="AE14" s="810"/>
      <c r="AF14" s="810"/>
      <c r="AG14" s="810"/>
      <c r="AH14" s="810"/>
      <c r="AI14" s="815"/>
      <c r="AJ14" s="143"/>
    </row>
    <row r="15" spans="1:36" s="199" customFormat="1">
      <c r="A15" s="802"/>
      <c r="B15" s="687"/>
      <c r="C15" s="687"/>
      <c r="D15" s="688"/>
      <c r="E15" s="824"/>
      <c r="F15" s="687"/>
      <c r="G15" s="688"/>
      <c r="H15" s="812"/>
      <c r="I15" s="813"/>
      <c r="J15" s="813"/>
      <c r="K15" s="813"/>
      <c r="L15" s="813"/>
      <c r="M15" s="813"/>
      <c r="N15" s="813"/>
      <c r="O15" s="813"/>
      <c r="P15" s="813"/>
      <c r="Q15" s="813"/>
      <c r="R15" s="813"/>
      <c r="S15" s="814"/>
      <c r="T15" s="587"/>
      <c r="U15" s="588"/>
      <c r="V15" s="589"/>
      <c r="W15" s="812"/>
      <c r="X15" s="813"/>
      <c r="Y15" s="813"/>
      <c r="Z15" s="813"/>
      <c r="AA15" s="813"/>
      <c r="AB15" s="813"/>
      <c r="AC15" s="813"/>
      <c r="AD15" s="813"/>
      <c r="AE15" s="813"/>
      <c r="AF15" s="813"/>
      <c r="AG15" s="813"/>
      <c r="AH15" s="813"/>
      <c r="AI15" s="816"/>
      <c r="AJ15" s="143"/>
    </row>
    <row r="16" spans="1:36" s="199" customFormat="1" ht="11.25" customHeight="1">
      <c r="A16" s="817" t="str">
        <f>申込書!A26</f>
        <v>催事担当者</v>
      </c>
      <c r="B16" s="606"/>
      <c r="C16" s="606"/>
      <c r="D16" s="606"/>
      <c r="E16" s="563" t="s">
        <v>9</v>
      </c>
      <c r="F16" s="564"/>
      <c r="G16" s="565"/>
      <c r="H16" s="809" t="str">
        <f>IF(申込書!H27="","",申込書!H27)</f>
        <v/>
      </c>
      <c r="I16" s="810"/>
      <c r="J16" s="810"/>
      <c r="K16" s="810"/>
      <c r="L16" s="810"/>
      <c r="M16" s="810"/>
      <c r="N16" s="810"/>
      <c r="O16" s="810"/>
      <c r="P16" s="810"/>
      <c r="Q16" s="810"/>
      <c r="R16" s="810"/>
      <c r="S16" s="811"/>
      <c r="T16" s="704" t="s">
        <v>23</v>
      </c>
      <c r="U16" s="704"/>
      <c r="V16" s="704"/>
      <c r="W16" s="809" t="str">
        <f>IF(申込書!W27="","",申込書!W27)</f>
        <v/>
      </c>
      <c r="X16" s="810"/>
      <c r="Y16" s="810"/>
      <c r="Z16" s="810"/>
      <c r="AA16" s="810"/>
      <c r="AB16" s="810"/>
      <c r="AC16" s="810"/>
      <c r="AD16" s="810"/>
      <c r="AE16" s="810"/>
      <c r="AF16" s="810"/>
      <c r="AG16" s="810"/>
      <c r="AH16" s="810"/>
      <c r="AI16" s="815"/>
      <c r="AJ16" s="143"/>
    </row>
    <row r="17" spans="1:36" s="199" customFormat="1">
      <c r="A17" s="818"/>
      <c r="B17" s="723"/>
      <c r="C17" s="723"/>
      <c r="D17" s="723"/>
      <c r="E17" s="824"/>
      <c r="F17" s="687"/>
      <c r="G17" s="688"/>
      <c r="H17" s="812"/>
      <c r="I17" s="813"/>
      <c r="J17" s="813"/>
      <c r="K17" s="813"/>
      <c r="L17" s="813"/>
      <c r="M17" s="813"/>
      <c r="N17" s="813"/>
      <c r="O17" s="813"/>
      <c r="P17" s="813"/>
      <c r="Q17" s="813"/>
      <c r="R17" s="813"/>
      <c r="S17" s="814"/>
      <c r="T17" s="705"/>
      <c r="U17" s="705"/>
      <c r="V17" s="705"/>
      <c r="W17" s="812"/>
      <c r="X17" s="813"/>
      <c r="Y17" s="813"/>
      <c r="Z17" s="813"/>
      <c r="AA17" s="813"/>
      <c r="AB17" s="813"/>
      <c r="AC17" s="813"/>
      <c r="AD17" s="813"/>
      <c r="AE17" s="813"/>
      <c r="AF17" s="813"/>
      <c r="AG17" s="813"/>
      <c r="AH17" s="813"/>
      <c r="AI17" s="816"/>
      <c r="AJ17" s="143"/>
    </row>
    <row r="18" spans="1:36" s="199" customFormat="1" ht="17.25" customHeight="1" thickBot="1">
      <c r="A18" s="819"/>
      <c r="B18" s="820"/>
      <c r="C18" s="820"/>
      <c r="D18" s="820"/>
      <c r="E18" s="821" t="s">
        <v>28</v>
      </c>
      <c r="F18" s="821"/>
      <c r="G18" s="821"/>
      <c r="H18" s="822" t="str">
        <f>IF(申込書!H28="","",申込書!H28)</f>
        <v/>
      </c>
      <c r="I18" s="822"/>
      <c r="J18" s="822"/>
      <c r="K18" s="822"/>
      <c r="L18" s="822"/>
      <c r="M18" s="822"/>
      <c r="N18" s="822"/>
      <c r="O18" s="822"/>
      <c r="P18" s="822"/>
      <c r="Q18" s="822"/>
      <c r="R18" s="822"/>
      <c r="S18" s="822"/>
      <c r="T18" s="833" t="s">
        <v>29</v>
      </c>
      <c r="U18" s="833"/>
      <c r="V18" s="833"/>
      <c r="W18" s="822" t="str">
        <f>IF(申込書!W28="","",申込書!W28)</f>
        <v/>
      </c>
      <c r="X18" s="822"/>
      <c r="Y18" s="822"/>
      <c r="Z18" s="822"/>
      <c r="AA18" s="822"/>
      <c r="AB18" s="822"/>
      <c r="AC18" s="822"/>
      <c r="AD18" s="822"/>
      <c r="AE18" s="822"/>
      <c r="AF18" s="822"/>
      <c r="AG18" s="822"/>
      <c r="AH18" s="822"/>
      <c r="AI18" s="834"/>
      <c r="AJ18" s="143"/>
    </row>
    <row r="19" spans="1:36" ht="33.75" customHeight="1" thickTop="1">
      <c r="A19" s="179"/>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row>
    <row r="20" spans="1:36" s="199" customFormat="1" ht="15" thickBot="1">
      <c r="A20" s="166" t="s">
        <v>194</v>
      </c>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43"/>
    </row>
    <row r="21" spans="1:36" ht="13.5" customHeight="1">
      <c r="A21" s="835" t="s">
        <v>201</v>
      </c>
      <c r="B21" s="825"/>
      <c r="C21" s="825"/>
      <c r="D21" s="825"/>
      <c r="E21" s="825"/>
      <c r="F21" s="825"/>
      <c r="G21" s="825"/>
      <c r="H21" s="825"/>
      <c r="I21" s="825"/>
      <c r="J21" s="825"/>
      <c r="K21" s="825"/>
      <c r="L21" s="825"/>
      <c r="M21" s="825"/>
      <c r="N21" s="825"/>
      <c r="O21" s="825"/>
      <c r="P21" s="825"/>
      <c r="Q21" s="825"/>
      <c r="R21" s="840" t="s">
        <v>199</v>
      </c>
      <c r="S21" s="825"/>
      <c r="T21" s="841"/>
      <c r="U21" s="825" t="s">
        <v>198</v>
      </c>
      <c r="V21" s="825"/>
      <c r="W21" s="838" t="s">
        <v>197</v>
      </c>
      <c r="X21" s="825"/>
      <c r="Y21" s="825"/>
      <c r="Z21" s="825"/>
      <c r="AA21" s="825"/>
      <c r="AB21" s="825"/>
      <c r="AC21" s="825"/>
      <c r="AD21" s="825"/>
      <c r="AE21" s="825"/>
      <c r="AF21" s="839"/>
      <c r="AG21" s="825" t="s">
        <v>195</v>
      </c>
      <c r="AH21" s="825"/>
      <c r="AI21" s="826"/>
      <c r="AJ21" s="179"/>
    </row>
    <row r="22" spans="1:36" ht="12.75" thickBot="1">
      <c r="A22" s="836"/>
      <c r="B22" s="827"/>
      <c r="C22" s="827"/>
      <c r="D22" s="827"/>
      <c r="E22" s="827"/>
      <c r="F22" s="827"/>
      <c r="G22" s="827"/>
      <c r="H22" s="827"/>
      <c r="I22" s="827"/>
      <c r="J22" s="827"/>
      <c r="K22" s="827"/>
      <c r="L22" s="827"/>
      <c r="M22" s="827"/>
      <c r="N22" s="827"/>
      <c r="O22" s="827"/>
      <c r="P22" s="827"/>
      <c r="Q22" s="827"/>
      <c r="R22" s="842"/>
      <c r="S22" s="827"/>
      <c r="T22" s="843"/>
      <c r="U22" s="827"/>
      <c r="V22" s="827"/>
      <c r="W22" s="837" t="s">
        <v>164</v>
      </c>
      <c r="X22" s="831"/>
      <c r="Y22" s="831" t="s">
        <v>165</v>
      </c>
      <c r="Z22" s="831"/>
      <c r="AA22" s="831" t="s">
        <v>166</v>
      </c>
      <c r="AB22" s="831"/>
      <c r="AC22" s="831" t="s">
        <v>167</v>
      </c>
      <c r="AD22" s="832"/>
      <c r="AE22" s="829" t="s">
        <v>196</v>
      </c>
      <c r="AF22" s="830"/>
      <c r="AG22" s="827"/>
      <c r="AH22" s="827"/>
      <c r="AI22" s="828"/>
      <c r="AJ22" s="179"/>
    </row>
    <row r="23" spans="1:36" ht="12.75" thickTop="1">
      <c r="A23" s="862" t="s">
        <v>207</v>
      </c>
      <c r="B23" s="864" t="s">
        <v>202</v>
      </c>
      <c r="C23" s="865"/>
      <c r="D23" s="865"/>
      <c r="E23" s="865"/>
      <c r="F23" s="865"/>
      <c r="G23" s="865"/>
      <c r="H23" s="865"/>
      <c r="I23" s="865"/>
      <c r="J23" s="865"/>
      <c r="K23" s="865"/>
      <c r="L23" s="865"/>
      <c r="M23" s="865"/>
      <c r="N23" s="865"/>
      <c r="O23" s="865"/>
      <c r="P23" s="865"/>
      <c r="Q23" s="865"/>
      <c r="R23" s="844" t="s">
        <v>200</v>
      </c>
      <c r="S23" s="845"/>
      <c r="T23" s="846"/>
      <c r="U23" s="850">
        <v>310</v>
      </c>
      <c r="V23" s="850"/>
      <c r="W23" s="866"/>
      <c r="X23" s="852"/>
      <c r="Y23" s="852"/>
      <c r="Z23" s="852"/>
      <c r="AA23" s="852"/>
      <c r="AB23" s="852"/>
      <c r="AC23" s="852"/>
      <c r="AD23" s="854"/>
      <c r="AE23" s="856">
        <f>SUM(W23:AD24)</f>
        <v>0</v>
      </c>
      <c r="AF23" s="857"/>
      <c r="AG23" s="868">
        <f>U23*AE23</f>
        <v>0</v>
      </c>
      <c r="AH23" s="868"/>
      <c r="AI23" s="869"/>
      <c r="AJ23" s="179"/>
    </row>
    <row r="24" spans="1:36">
      <c r="A24" s="863"/>
      <c r="B24" s="860"/>
      <c r="C24" s="861"/>
      <c r="D24" s="861"/>
      <c r="E24" s="861"/>
      <c r="F24" s="861"/>
      <c r="G24" s="861"/>
      <c r="H24" s="861"/>
      <c r="I24" s="861"/>
      <c r="J24" s="861"/>
      <c r="K24" s="861"/>
      <c r="L24" s="861"/>
      <c r="M24" s="861"/>
      <c r="N24" s="861"/>
      <c r="O24" s="861"/>
      <c r="P24" s="861"/>
      <c r="Q24" s="861"/>
      <c r="R24" s="847"/>
      <c r="S24" s="848"/>
      <c r="T24" s="849"/>
      <c r="U24" s="851"/>
      <c r="V24" s="851"/>
      <c r="W24" s="867"/>
      <c r="X24" s="853"/>
      <c r="Y24" s="853"/>
      <c r="Z24" s="853"/>
      <c r="AA24" s="853"/>
      <c r="AB24" s="853"/>
      <c r="AC24" s="853"/>
      <c r="AD24" s="855"/>
      <c r="AE24" s="858"/>
      <c r="AF24" s="859"/>
      <c r="AG24" s="870"/>
      <c r="AH24" s="870"/>
      <c r="AI24" s="871"/>
      <c r="AJ24" s="179"/>
    </row>
    <row r="25" spans="1:36">
      <c r="A25" s="863"/>
      <c r="B25" s="860" t="s">
        <v>203</v>
      </c>
      <c r="C25" s="861"/>
      <c r="D25" s="861"/>
      <c r="E25" s="861"/>
      <c r="F25" s="861"/>
      <c r="G25" s="861"/>
      <c r="H25" s="861"/>
      <c r="I25" s="861"/>
      <c r="J25" s="861"/>
      <c r="K25" s="861"/>
      <c r="L25" s="861"/>
      <c r="M25" s="861"/>
      <c r="N25" s="861"/>
      <c r="O25" s="861"/>
      <c r="P25" s="861"/>
      <c r="Q25" s="861"/>
      <c r="R25" s="847" t="s">
        <v>208</v>
      </c>
      <c r="S25" s="848"/>
      <c r="T25" s="849"/>
      <c r="U25" s="851">
        <v>50</v>
      </c>
      <c r="V25" s="851"/>
      <c r="W25" s="867"/>
      <c r="X25" s="853"/>
      <c r="Y25" s="853"/>
      <c r="Z25" s="853"/>
      <c r="AA25" s="853"/>
      <c r="AB25" s="853"/>
      <c r="AC25" s="853"/>
      <c r="AD25" s="855"/>
      <c r="AE25" s="858">
        <f t="shared" ref="AE25" si="0">SUM(W25:AD26)</f>
        <v>0</v>
      </c>
      <c r="AF25" s="859"/>
      <c r="AG25" s="870">
        <f t="shared" ref="AG25" si="1">U25*AE25</f>
        <v>0</v>
      </c>
      <c r="AH25" s="870"/>
      <c r="AI25" s="871"/>
      <c r="AJ25" s="179"/>
    </row>
    <row r="26" spans="1:36">
      <c r="A26" s="863"/>
      <c r="B26" s="860"/>
      <c r="C26" s="861"/>
      <c r="D26" s="861"/>
      <c r="E26" s="861"/>
      <c r="F26" s="861"/>
      <c r="G26" s="861"/>
      <c r="H26" s="861"/>
      <c r="I26" s="861"/>
      <c r="J26" s="861"/>
      <c r="K26" s="861"/>
      <c r="L26" s="861"/>
      <c r="M26" s="861"/>
      <c r="N26" s="861"/>
      <c r="O26" s="861"/>
      <c r="P26" s="861"/>
      <c r="Q26" s="861"/>
      <c r="R26" s="847"/>
      <c r="S26" s="848"/>
      <c r="T26" s="849"/>
      <c r="U26" s="851"/>
      <c r="V26" s="851"/>
      <c r="W26" s="867"/>
      <c r="X26" s="853"/>
      <c r="Y26" s="853"/>
      <c r="Z26" s="853"/>
      <c r="AA26" s="853"/>
      <c r="AB26" s="853"/>
      <c r="AC26" s="853"/>
      <c r="AD26" s="855"/>
      <c r="AE26" s="858"/>
      <c r="AF26" s="859"/>
      <c r="AG26" s="870"/>
      <c r="AH26" s="870"/>
      <c r="AI26" s="871"/>
      <c r="AJ26" s="179"/>
    </row>
    <row r="27" spans="1:36">
      <c r="A27" s="863"/>
      <c r="B27" s="860" t="s">
        <v>204</v>
      </c>
      <c r="C27" s="861"/>
      <c r="D27" s="861"/>
      <c r="E27" s="861"/>
      <c r="F27" s="861"/>
      <c r="G27" s="861"/>
      <c r="H27" s="861"/>
      <c r="I27" s="861"/>
      <c r="J27" s="861"/>
      <c r="K27" s="861"/>
      <c r="L27" s="861"/>
      <c r="M27" s="861"/>
      <c r="N27" s="861"/>
      <c r="O27" s="861"/>
      <c r="P27" s="861"/>
      <c r="Q27" s="861"/>
      <c r="R27" s="847" t="s">
        <v>200</v>
      </c>
      <c r="S27" s="848"/>
      <c r="T27" s="849"/>
      <c r="U27" s="851">
        <v>310</v>
      </c>
      <c r="V27" s="851"/>
      <c r="W27" s="867"/>
      <c r="X27" s="853"/>
      <c r="Y27" s="853"/>
      <c r="Z27" s="853"/>
      <c r="AA27" s="853"/>
      <c r="AB27" s="853"/>
      <c r="AC27" s="853"/>
      <c r="AD27" s="855"/>
      <c r="AE27" s="858">
        <f t="shared" ref="AE27" si="2">SUM(W27:AD28)</f>
        <v>0</v>
      </c>
      <c r="AF27" s="859"/>
      <c r="AG27" s="870">
        <f t="shared" ref="AG27" si="3">U27*AE27</f>
        <v>0</v>
      </c>
      <c r="AH27" s="870"/>
      <c r="AI27" s="871"/>
      <c r="AJ27" s="179"/>
    </row>
    <row r="28" spans="1:36">
      <c r="A28" s="863"/>
      <c r="B28" s="860"/>
      <c r="C28" s="861"/>
      <c r="D28" s="861"/>
      <c r="E28" s="861"/>
      <c r="F28" s="861"/>
      <c r="G28" s="861"/>
      <c r="H28" s="861"/>
      <c r="I28" s="861"/>
      <c r="J28" s="861"/>
      <c r="K28" s="861"/>
      <c r="L28" s="861"/>
      <c r="M28" s="861"/>
      <c r="N28" s="861"/>
      <c r="O28" s="861"/>
      <c r="P28" s="861"/>
      <c r="Q28" s="861"/>
      <c r="R28" s="847"/>
      <c r="S28" s="848"/>
      <c r="T28" s="849"/>
      <c r="U28" s="851"/>
      <c r="V28" s="851"/>
      <c r="W28" s="867"/>
      <c r="X28" s="853"/>
      <c r="Y28" s="853"/>
      <c r="Z28" s="853"/>
      <c r="AA28" s="853"/>
      <c r="AB28" s="853"/>
      <c r="AC28" s="853"/>
      <c r="AD28" s="855"/>
      <c r="AE28" s="858"/>
      <c r="AF28" s="859"/>
      <c r="AG28" s="870"/>
      <c r="AH28" s="870"/>
      <c r="AI28" s="871"/>
      <c r="AJ28" s="179"/>
    </row>
    <row r="29" spans="1:36">
      <c r="A29" s="863"/>
      <c r="B29" s="860" t="s">
        <v>205</v>
      </c>
      <c r="C29" s="861"/>
      <c r="D29" s="861"/>
      <c r="E29" s="861"/>
      <c r="F29" s="861"/>
      <c r="G29" s="861"/>
      <c r="H29" s="861"/>
      <c r="I29" s="861"/>
      <c r="J29" s="861"/>
      <c r="K29" s="861"/>
      <c r="L29" s="861"/>
      <c r="M29" s="861"/>
      <c r="N29" s="861"/>
      <c r="O29" s="861"/>
      <c r="P29" s="861"/>
      <c r="Q29" s="861"/>
      <c r="R29" s="847" t="s">
        <v>209</v>
      </c>
      <c r="S29" s="848"/>
      <c r="T29" s="849"/>
      <c r="U29" s="851">
        <v>1040</v>
      </c>
      <c r="V29" s="851"/>
      <c r="W29" s="867"/>
      <c r="X29" s="853"/>
      <c r="Y29" s="853"/>
      <c r="Z29" s="853"/>
      <c r="AA29" s="853"/>
      <c r="AB29" s="853"/>
      <c r="AC29" s="853"/>
      <c r="AD29" s="855"/>
      <c r="AE29" s="858">
        <f t="shared" ref="AE29" si="4">SUM(W29:AD30)</f>
        <v>0</v>
      </c>
      <c r="AF29" s="859"/>
      <c r="AG29" s="870">
        <f t="shared" ref="AG29" si="5">U29*AE29</f>
        <v>0</v>
      </c>
      <c r="AH29" s="870"/>
      <c r="AI29" s="871"/>
      <c r="AJ29" s="179"/>
    </row>
    <row r="30" spans="1:36">
      <c r="A30" s="863"/>
      <c r="B30" s="860"/>
      <c r="C30" s="861"/>
      <c r="D30" s="861"/>
      <c r="E30" s="861"/>
      <c r="F30" s="861"/>
      <c r="G30" s="861"/>
      <c r="H30" s="861"/>
      <c r="I30" s="861"/>
      <c r="J30" s="861"/>
      <c r="K30" s="861"/>
      <c r="L30" s="861"/>
      <c r="M30" s="861"/>
      <c r="N30" s="861"/>
      <c r="O30" s="861"/>
      <c r="P30" s="861"/>
      <c r="Q30" s="861"/>
      <c r="R30" s="847"/>
      <c r="S30" s="848"/>
      <c r="T30" s="849"/>
      <c r="U30" s="851"/>
      <c r="V30" s="851"/>
      <c r="W30" s="867"/>
      <c r="X30" s="853"/>
      <c r="Y30" s="853"/>
      <c r="Z30" s="853"/>
      <c r="AA30" s="853"/>
      <c r="AB30" s="853"/>
      <c r="AC30" s="853"/>
      <c r="AD30" s="855"/>
      <c r="AE30" s="858"/>
      <c r="AF30" s="859"/>
      <c r="AG30" s="870"/>
      <c r="AH30" s="870"/>
      <c r="AI30" s="871"/>
      <c r="AJ30" s="179"/>
    </row>
    <row r="31" spans="1:36">
      <c r="A31" s="863"/>
      <c r="B31" s="860" t="s">
        <v>206</v>
      </c>
      <c r="C31" s="861"/>
      <c r="D31" s="861"/>
      <c r="E31" s="861"/>
      <c r="F31" s="861"/>
      <c r="G31" s="861"/>
      <c r="H31" s="861"/>
      <c r="I31" s="861"/>
      <c r="J31" s="861"/>
      <c r="K31" s="861"/>
      <c r="L31" s="861"/>
      <c r="M31" s="861"/>
      <c r="N31" s="861"/>
      <c r="O31" s="861"/>
      <c r="P31" s="861"/>
      <c r="Q31" s="861"/>
      <c r="R31" s="847" t="s">
        <v>210</v>
      </c>
      <c r="S31" s="848"/>
      <c r="T31" s="849"/>
      <c r="U31" s="851">
        <v>50</v>
      </c>
      <c r="V31" s="851"/>
      <c r="W31" s="867"/>
      <c r="X31" s="853"/>
      <c r="Y31" s="853"/>
      <c r="Z31" s="853"/>
      <c r="AA31" s="853"/>
      <c r="AB31" s="853"/>
      <c r="AC31" s="853"/>
      <c r="AD31" s="855"/>
      <c r="AE31" s="858">
        <f t="shared" ref="AE31" si="6">SUM(W31:AD32)</f>
        <v>0</v>
      </c>
      <c r="AF31" s="859"/>
      <c r="AG31" s="870">
        <f t="shared" ref="AG31" si="7">U31*AE31</f>
        <v>0</v>
      </c>
      <c r="AH31" s="870"/>
      <c r="AI31" s="871"/>
      <c r="AJ31" s="179"/>
    </row>
    <row r="32" spans="1:36">
      <c r="A32" s="863"/>
      <c r="B32" s="860"/>
      <c r="C32" s="861"/>
      <c r="D32" s="861"/>
      <c r="E32" s="861"/>
      <c r="F32" s="861"/>
      <c r="G32" s="861"/>
      <c r="H32" s="861"/>
      <c r="I32" s="861"/>
      <c r="J32" s="861"/>
      <c r="K32" s="861"/>
      <c r="L32" s="861"/>
      <c r="M32" s="861"/>
      <c r="N32" s="861"/>
      <c r="O32" s="861"/>
      <c r="P32" s="861"/>
      <c r="Q32" s="861"/>
      <c r="R32" s="847"/>
      <c r="S32" s="848"/>
      <c r="T32" s="849"/>
      <c r="U32" s="851"/>
      <c r="V32" s="851"/>
      <c r="W32" s="867"/>
      <c r="X32" s="853"/>
      <c r="Y32" s="853"/>
      <c r="Z32" s="853"/>
      <c r="AA32" s="853"/>
      <c r="AB32" s="853"/>
      <c r="AC32" s="853"/>
      <c r="AD32" s="855"/>
      <c r="AE32" s="858"/>
      <c r="AF32" s="859"/>
      <c r="AG32" s="870"/>
      <c r="AH32" s="870"/>
      <c r="AI32" s="871"/>
      <c r="AJ32" s="179"/>
    </row>
    <row r="33" spans="1:36">
      <c r="A33" s="863" t="s">
        <v>216</v>
      </c>
      <c r="B33" s="860" t="s">
        <v>211</v>
      </c>
      <c r="C33" s="861"/>
      <c r="D33" s="861"/>
      <c r="E33" s="872"/>
      <c r="F33" s="861" t="s">
        <v>212</v>
      </c>
      <c r="G33" s="861"/>
      <c r="H33" s="861"/>
      <c r="I33" s="861"/>
      <c r="J33" s="861"/>
      <c r="K33" s="861"/>
      <c r="L33" s="861"/>
      <c r="M33" s="861"/>
      <c r="N33" s="861"/>
      <c r="O33" s="861"/>
      <c r="P33" s="861"/>
      <c r="Q33" s="861"/>
      <c r="R33" s="847" t="s">
        <v>200</v>
      </c>
      <c r="S33" s="848"/>
      <c r="T33" s="849"/>
      <c r="U33" s="851">
        <v>5230</v>
      </c>
      <c r="V33" s="851"/>
      <c r="W33" s="867"/>
      <c r="X33" s="853"/>
      <c r="Y33" s="853"/>
      <c r="Z33" s="853"/>
      <c r="AA33" s="853"/>
      <c r="AB33" s="853"/>
      <c r="AC33" s="853"/>
      <c r="AD33" s="855"/>
      <c r="AE33" s="858">
        <f t="shared" ref="AE33" si="8">SUM(W33:AD34)</f>
        <v>0</v>
      </c>
      <c r="AF33" s="859"/>
      <c r="AG33" s="870">
        <f t="shared" ref="AG33" si="9">U33*AE33</f>
        <v>0</v>
      </c>
      <c r="AH33" s="870"/>
      <c r="AI33" s="871"/>
      <c r="AJ33" s="179"/>
    </row>
    <row r="34" spans="1:36">
      <c r="A34" s="863"/>
      <c r="B34" s="860"/>
      <c r="C34" s="861"/>
      <c r="D34" s="861"/>
      <c r="E34" s="872"/>
      <c r="F34" s="861"/>
      <c r="G34" s="861"/>
      <c r="H34" s="861"/>
      <c r="I34" s="861"/>
      <c r="J34" s="861"/>
      <c r="K34" s="861"/>
      <c r="L34" s="861"/>
      <c r="M34" s="861"/>
      <c r="N34" s="861"/>
      <c r="O34" s="861"/>
      <c r="P34" s="861"/>
      <c r="Q34" s="861"/>
      <c r="R34" s="847"/>
      <c r="S34" s="848"/>
      <c r="T34" s="849"/>
      <c r="U34" s="851"/>
      <c r="V34" s="851"/>
      <c r="W34" s="867"/>
      <c r="X34" s="853"/>
      <c r="Y34" s="853"/>
      <c r="Z34" s="853"/>
      <c r="AA34" s="853"/>
      <c r="AB34" s="853"/>
      <c r="AC34" s="853"/>
      <c r="AD34" s="855"/>
      <c r="AE34" s="858"/>
      <c r="AF34" s="859"/>
      <c r="AG34" s="870"/>
      <c r="AH34" s="870"/>
      <c r="AI34" s="871"/>
      <c r="AJ34" s="179"/>
    </row>
    <row r="35" spans="1:36">
      <c r="A35" s="863"/>
      <c r="B35" s="860"/>
      <c r="C35" s="861"/>
      <c r="D35" s="861"/>
      <c r="E35" s="872"/>
      <c r="F35" s="861" t="s">
        <v>213</v>
      </c>
      <c r="G35" s="861"/>
      <c r="H35" s="861"/>
      <c r="I35" s="861"/>
      <c r="J35" s="861"/>
      <c r="K35" s="861"/>
      <c r="L35" s="861"/>
      <c r="M35" s="861"/>
      <c r="N35" s="861"/>
      <c r="O35" s="861"/>
      <c r="P35" s="861"/>
      <c r="Q35" s="861"/>
      <c r="R35" s="847" t="s">
        <v>200</v>
      </c>
      <c r="S35" s="848"/>
      <c r="T35" s="849"/>
      <c r="U35" s="851">
        <v>2090</v>
      </c>
      <c r="V35" s="851"/>
      <c r="W35" s="867"/>
      <c r="X35" s="853"/>
      <c r="Y35" s="853"/>
      <c r="Z35" s="853"/>
      <c r="AA35" s="853"/>
      <c r="AB35" s="853"/>
      <c r="AC35" s="853"/>
      <c r="AD35" s="855"/>
      <c r="AE35" s="858">
        <f t="shared" ref="AE35" si="10">SUM(W35:AD36)</f>
        <v>0</v>
      </c>
      <c r="AF35" s="859"/>
      <c r="AG35" s="870">
        <f t="shared" ref="AG35" si="11">U35*AE35</f>
        <v>0</v>
      </c>
      <c r="AH35" s="870"/>
      <c r="AI35" s="871"/>
      <c r="AJ35" s="179"/>
    </row>
    <row r="36" spans="1:36">
      <c r="A36" s="863"/>
      <c r="B36" s="860"/>
      <c r="C36" s="861"/>
      <c r="D36" s="861"/>
      <c r="E36" s="872"/>
      <c r="F36" s="861"/>
      <c r="G36" s="861"/>
      <c r="H36" s="861"/>
      <c r="I36" s="861"/>
      <c r="J36" s="861"/>
      <c r="K36" s="861"/>
      <c r="L36" s="861"/>
      <c r="M36" s="861"/>
      <c r="N36" s="861"/>
      <c r="O36" s="861"/>
      <c r="P36" s="861"/>
      <c r="Q36" s="861"/>
      <c r="R36" s="847"/>
      <c r="S36" s="848"/>
      <c r="T36" s="849"/>
      <c r="U36" s="851"/>
      <c r="V36" s="851"/>
      <c r="W36" s="867"/>
      <c r="X36" s="853"/>
      <c r="Y36" s="853"/>
      <c r="Z36" s="853"/>
      <c r="AA36" s="853"/>
      <c r="AB36" s="853"/>
      <c r="AC36" s="853"/>
      <c r="AD36" s="855"/>
      <c r="AE36" s="858"/>
      <c r="AF36" s="859"/>
      <c r="AG36" s="870"/>
      <c r="AH36" s="870"/>
      <c r="AI36" s="871"/>
      <c r="AJ36" s="179"/>
    </row>
    <row r="37" spans="1:36">
      <c r="A37" s="863"/>
      <c r="B37" s="860" t="s">
        <v>214</v>
      </c>
      <c r="C37" s="861"/>
      <c r="D37" s="861"/>
      <c r="E37" s="872"/>
      <c r="F37" s="861" t="s">
        <v>215</v>
      </c>
      <c r="G37" s="861"/>
      <c r="H37" s="861"/>
      <c r="I37" s="861"/>
      <c r="J37" s="861"/>
      <c r="K37" s="861"/>
      <c r="L37" s="861"/>
      <c r="M37" s="861"/>
      <c r="N37" s="861"/>
      <c r="O37" s="861"/>
      <c r="P37" s="861"/>
      <c r="Q37" s="861"/>
      <c r="R37" s="847" t="s">
        <v>200</v>
      </c>
      <c r="S37" s="848"/>
      <c r="T37" s="849"/>
      <c r="U37" s="851">
        <v>3140</v>
      </c>
      <c r="V37" s="851"/>
      <c r="W37" s="867"/>
      <c r="X37" s="853"/>
      <c r="Y37" s="853"/>
      <c r="Z37" s="853"/>
      <c r="AA37" s="853"/>
      <c r="AB37" s="853"/>
      <c r="AC37" s="853"/>
      <c r="AD37" s="855"/>
      <c r="AE37" s="858">
        <f t="shared" ref="AE37" si="12">SUM(W37:AD38)</f>
        <v>0</v>
      </c>
      <c r="AF37" s="859"/>
      <c r="AG37" s="870">
        <f t="shared" ref="AG37" si="13">U37*AE37</f>
        <v>0</v>
      </c>
      <c r="AH37" s="870"/>
      <c r="AI37" s="871"/>
      <c r="AJ37" s="179"/>
    </row>
    <row r="38" spans="1:36">
      <c r="A38" s="863"/>
      <c r="B38" s="860"/>
      <c r="C38" s="861"/>
      <c r="D38" s="861"/>
      <c r="E38" s="872"/>
      <c r="F38" s="861"/>
      <c r="G38" s="861"/>
      <c r="H38" s="861"/>
      <c r="I38" s="861"/>
      <c r="J38" s="861"/>
      <c r="K38" s="861"/>
      <c r="L38" s="861"/>
      <c r="M38" s="861"/>
      <c r="N38" s="861"/>
      <c r="O38" s="861"/>
      <c r="P38" s="861"/>
      <c r="Q38" s="861"/>
      <c r="R38" s="847"/>
      <c r="S38" s="848"/>
      <c r="T38" s="849"/>
      <c r="U38" s="851"/>
      <c r="V38" s="851"/>
      <c r="W38" s="867"/>
      <c r="X38" s="853"/>
      <c r="Y38" s="853"/>
      <c r="Z38" s="853"/>
      <c r="AA38" s="853"/>
      <c r="AB38" s="853"/>
      <c r="AC38" s="853"/>
      <c r="AD38" s="855"/>
      <c r="AE38" s="858"/>
      <c r="AF38" s="859"/>
      <c r="AG38" s="870"/>
      <c r="AH38" s="870"/>
      <c r="AI38" s="871"/>
      <c r="AJ38" s="179"/>
    </row>
    <row r="39" spans="1:36">
      <c r="A39" s="875" t="s">
        <v>224</v>
      </c>
      <c r="B39" s="860" t="s">
        <v>217</v>
      </c>
      <c r="C39" s="861"/>
      <c r="D39" s="861"/>
      <c r="E39" s="861"/>
      <c r="F39" s="861"/>
      <c r="G39" s="861"/>
      <c r="H39" s="861"/>
      <c r="I39" s="861"/>
      <c r="J39" s="861"/>
      <c r="K39" s="861"/>
      <c r="L39" s="861"/>
      <c r="M39" s="861"/>
      <c r="N39" s="861"/>
      <c r="O39" s="861"/>
      <c r="P39" s="861"/>
      <c r="Q39" s="861"/>
      <c r="R39" s="847" t="s">
        <v>200</v>
      </c>
      <c r="S39" s="848"/>
      <c r="T39" s="849"/>
      <c r="U39" s="851">
        <v>730</v>
      </c>
      <c r="V39" s="851"/>
      <c r="W39" s="867"/>
      <c r="X39" s="853"/>
      <c r="Y39" s="853"/>
      <c r="Z39" s="853"/>
      <c r="AA39" s="853"/>
      <c r="AB39" s="853"/>
      <c r="AC39" s="853"/>
      <c r="AD39" s="855"/>
      <c r="AE39" s="858">
        <f t="shared" ref="AE39" si="14">SUM(W39:AD40)</f>
        <v>0</v>
      </c>
      <c r="AF39" s="859"/>
      <c r="AG39" s="870">
        <f t="shared" ref="AG39" si="15">U39*AE39</f>
        <v>0</v>
      </c>
      <c r="AH39" s="870"/>
      <c r="AI39" s="871"/>
      <c r="AJ39" s="179"/>
    </row>
    <row r="40" spans="1:36">
      <c r="A40" s="875"/>
      <c r="B40" s="860"/>
      <c r="C40" s="861"/>
      <c r="D40" s="861"/>
      <c r="E40" s="861"/>
      <c r="F40" s="861"/>
      <c r="G40" s="861"/>
      <c r="H40" s="861"/>
      <c r="I40" s="861"/>
      <c r="J40" s="861"/>
      <c r="K40" s="861"/>
      <c r="L40" s="861"/>
      <c r="M40" s="861"/>
      <c r="N40" s="861"/>
      <c r="O40" s="861"/>
      <c r="P40" s="861"/>
      <c r="Q40" s="861"/>
      <c r="R40" s="847"/>
      <c r="S40" s="848"/>
      <c r="T40" s="849"/>
      <c r="U40" s="851"/>
      <c r="V40" s="851"/>
      <c r="W40" s="867"/>
      <c r="X40" s="853"/>
      <c r="Y40" s="853"/>
      <c r="Z40" s="853"/>
      <c r="AA40" s="853"/>
      <c r="AB40" s="853"/>
      <c r="AC40" s="853"/>
      <c r="AD40" s="855"/>
      <c r="AE40" s="858"/>
      <c r="AF40" s="859"/>
      <c r="AG40" s="870"/>
      <c r="AH40" s="870"/>
      <c r="AI40" s="871"/>
      <c r="AJ40" s="179"/>
    </row>
    <row r="41" spans="1:36">
      <c r="A41" s="875"/>
      <c r="B41" s="860" t="s">
        <v>288</v>
      </c>
      <c r="C41" s="861"/>
      <c r="D41" s="861"/>
      <c r="E41" s="861"/>
      <c r="F41" s="861"/>
      <c r="G41" s="861"/>
      <c r="H41" s="861"/>
      <c r="I41" s="861"/>
      <c r="J41" s="861"/>
      <c r="K41" s="861"/>
      <c r="L41" s="861"/>
      <c r="M41" s="861"/>
      <c r="N41" s="861"/>
      <c r="O41" s="861"/>
      <c r="P41" s="861"/>
      <c r="Q41" s="861"/>
      <c r="R41" s="847" t="s">
        <v>200</v>
      </c>
      <c r="S41" s="848"/>
      <c r="T41" s="849"/>
      <c r="U41" s="851">
        <v>5230</v>
      </c>
      <c r="V41" s="851"/>
      <c r="W41" s="867"/>
      <c r="X41" s="853"/>
      <c r="Y41" s="853"/>
      <c r="Z41" s="853"/>
      <c r="AA41" s="853"/>
      <c r="AB41" s="853"/>
      <c r="AC41" s="853"/>
      <c r="AD41" s="855"/>
      <c r="AE41" s="858">
        <f t="shared" ref="AE41" si="16">SUM(W41:AD42)</f>
        <v>0</v>
      </c>
      <c r="AF41" s="859"/>
      <c r="AG41" s="870">
        <f t="shared" ref="AG41" si="17">U41*AE41</f>
        <v>0</v>
      </c>
      <c r="AH41" s="870"/>
      <c r="AI41" s="871"/>
      <c r="AJ41" s="179"/>
    </row>
    <row r="42" spans="1:36">
      <c r="A42" s="875"/>
      <c r="B42" s="860"/>
      <c r="C42" s="861"/>
      <c r="D42" s="861"/>
      <c r="E42" s="861"/>
      <c r="F42" s="861"/>
      <c r="G42" s="861"/>
      <c r="H42" s="861"/>
      <c r="I42" s="861"/>
      <c r="J42" s="861"/>
      <c r="K42" s="861"/>
      <c r="L42" s="861"/>
      <c r="M42" s="861"/>
      <c r="N42" s="861"/>
      <c r="O42" s="861"/>
      <c r="P42" s="861"/>
      <c r="Q42" s="861"/>
      <c r="R42" s="847"/>
      <c r="S42" s="848"/>
      <c r="T42" s="849"/>
      <c r="U42" s="851"/>
      <c r="V42" s="851"/>
      <c r="W42" s="867"/>
      <c r="X42" s="853"/>
      <c r="Y42" s="853"/>
      <c r="Z42" s="853"/>
      <c r="AA42" s="853"/>
      <c r="AB42" s="853"/>
      <c r="AC42" s="853"/>
      <c r="AD42" s="855"/>
      <c r="AE42" s="858"/>
      <c r="AF42" s="859"/>
      <c r="AG42" s="870"/>
      <c r="AH42" s="870"/>
      <c r="AI42" s="871"/>
      <c r="AJ42" s="179"/>
    </row>
    <row r="43" spans="1:36">
      <c r="A43" s="875"/>
      <c r="B43" s="860" t="s">
        <v>218</v>
      </c>
      <c r="C43" s="861"/>
      <c r="D43" s="861"/>
      <c r="E43" s="861"/>
      <c r="F43" s="861"/>
      <c r="G43" s="861"/>
      <c r="H43" s="861"/>
      <c r="I43" s="861"/>
      <c r="J43" s="861"/>
      <c r="K43" s="861"/>
      <c r="L43" s="861"/>
      <c r="M43" s="861"/>
      <c r="N43" s="861"/>
      <c r="O43" s="861"/>
      <c r="P43" s="861"/>
      <c r="Q43" s="861"/>
      <c r="R43" s="847" t="s">
        <v>200</v>
      </c>
      <c r="S43" s="848"/>
      <c r="T43" s="849"/>
      <c r="U43" s="851">
        <v>2090</v>
      </c>
      <c r="V43" s="851"/>
      <c r="W43" s="867"/>
      <c r="X43" s="853"/>
      <c r="Y43" s="853"/>
      <c r="Z43" s="853"/>
      <c r="AA43" s="853"/>
      <c r="AB43" s="853"/>
      <c r="AC43" s="853"/>
      <c r="AD43" s="855"/>
      <c r="AE43" s="858">
        <f t="shared" ref="AE43" si="18">SUM(W43:AD44)</f>
        <v>0</v>
      </c>
      <c r="AF43" s="859"/>
      <c r="AG43" s="870">
        <f t="shared" ref="AG43" si="19">U43*AE43</f>
        <v>0</v>
      </c>
      <c r="AH43" s="870"/>
      <c r="AI43" s="871"/>
      <c r="AJ43" s="179"/>
    </row>
    <row r="44" spans="1:36">
      <c r="A44" s="875"/>
      <c r="B44" s="860"/>
      <c r="C44" s="861"/>
      <c r="D44" s="861"/>
      <c r="E44" s="861"/>
      <c r="F44" s="861"/>
      <c r="G44" s="861"/>
      <c r="H44" s="861"/>
      <c r="I44" s="861"/>
      <c r="J44" s="861"/>
      <c r="K44" s="861"/>
      <c r="L44" s="861"/>
      <c r="M44" s="861"/>
      <c r="N44" s="861"/>
      <c r="O44" s="861"/>
      <c r="P44" s="861"/>
      <c r="Q44" s="861"/>
      <c r="R44" s="847"/>
      <c r="S44" s="848"/>
      <c r="T44" s="849"/>
      <c r="U44" s="851"/>
      <c r="V44" s="851"/>
      <c r="W44" s="867"/>
      <c r="X44" s="853"/>
      <c r="Y44" s="853"/>
      <c r="Z44" s="853"/>
      <c r="AA44" s="853"/>
      <c r="AB44" s="853"/>
      <c r="AC44" s="853"/>
      <c r="AD44" s="855"/>
      <c r="AE44" s="858"/>
      <c r="AF44" s="859"/>
      <c r="AG44" s="870"/>
      <c r="AH44" s="870"/>
      <c r="AI44" s="871"/>
      <c r="AJ44" s="179"/>
    </row>
    <row r="45" spans="1:36">
      <c r="A45" s="875"/>
      <c r="B45" s="860" t="s">
        <v>219</v>
      </c>
      <c r="C45" s="861"/>
      <c r="D45" s="861"/>
      <c r="E45" s="861"/>
      <c r="F45" s="861"/>
      <c r="G45" s="861"/>
      <c r="H45" s="861"/>
      <c r="I45" s="861"/>
      <c r="J45" s="861"/>
      <c r="K45" s="861"/>
      <c r="L45" s="861"/>
      <c r="M45" s="861"/>
      <c r="N45" s="861"/>
      <c r="O45" s="861"/>
      <c r="P45" s="861"/>
      <c r="Q45" s="861"/>
      <c r="R45" s="847" t="s">
        <v>200</v>
      </c>
      <c r="S45" s="848"/>
      <c r="T45" s="849"/>
      <c r="U45" s="851">
        <v>2090</v>
      </c>
      <c r="V45" s="851"/>
      <c r="W45" s="867"/>
      <c r="X45" s="853"/>
      <c r="Y45" s="853"/>
      <c r="Z45" s="853"/>
      <c r="AA45" s="853"/>
      <c r="AB45" s="853"/>
      <c r="AC45" s="853"/>
      <c r="AD45" s="855"/>
      <c r="AE45" s="858">
        <f t="shared" ref="AE45" si="20">SUM(W45:AD46)</f>
        <v>0</v>
      </c>
      <c r="AF45" s="859"/>
      <c r="AG45" s="870">
        <f t="shared" ref="AG45" si="21">U45*AE45</f>
        <v>0</v>
      </c>
      <c r="AH45" s="870"/>
      <c r="AI45" s="871"/>
      <c r="AJ45" s="179"/>
    </row>
    <row r="46" spans="1:36">
      <c r="A46" s="875"/>
      <c r="B46" s="860"/>
      <c r="C46" s="861"/>
      <c r="D46" s="861"/>
      <c r="E46" s="861"/>
      <c r="F46" s="861"/>
      <c r="G46" s="861"/>
      <c r="H46" s="861"/>
      <c r="I46" s="861"/>
      <c r="J46" s="861"/>
      <c r="K46" s="861"/>
      <c r="L46" s="861"/>
      <c r="M46" s="861"/>
      <c r="N46" s="861"/>
      <c r="O46" s="861"/>
      <c r="P46" s="861"/>
      <c r="Q46" s="861"/>
      <c r="R46" s="847"/>
      <c r="S46" s="848"/>
      <c r="T46" s="849"/>
      <c r="U46" s="851"/>
      <c r="V46" s="851"/>
      <c r="W46" s="867"/>
      <c r="X46" s="853"/>
      <c r="Y46" s="853"/>
      <c r="Z46" s="853"/>
      <c r="AA46" s="853"/>
      <c r="AB46" s="853"/>
      <c r="AC46" s="853"/>
      <c r="AD46" s="855"/>
      <c r="AE46" s="858"/>
      <c r="AF46" s="859"/>
      <c r="AG46" s="870"/>
      <c r="AH46" s="870"/>
      <c r="AI46" s="871"/>
      <c r="AJ46" s="179"/>
    </row>
    <row r="47" spans="1:36">
      <c r="A47" s="875"/>
      <c r="B47" s="860" t="s">
        <v>220</v>
      </c>
      <c r="C47" s="861"/>
      <c r="D47" s="861"/>
      <c r="E47" s="861"/>
      <c r="F47" s="861"/>
      <c r="G47" s="861"/>
      <c r="H47" s="861"/>
      <c r="I47" s="861"/>
      <c r="J47" s="861"/>
      <c r="K47" s="861"/>
      <c r="L47" s="861"/>
      <c r="M47" s="861"/>
      <c r="N47" s="861"/>
      <c r="O47" s="861"/>
      <c r="P47" s="861"/>
      <c r="Q47" s="861"/>
      <c r="R47" s="847" t="s">
        <v>200</v>
      </c>
      <c r="S47" s="848"/>
      <c r="T47" s="849"/>
      <c r="U47" s="851">
        <v>1040</v>
      </c>
      <c r="V47" s="851"/>
      <c r="W47" s="867"/>
      <c r="X47" s="853"/>
      <c r="Y47" s="853"/>
      <c r="Z47" s="853"/>
      <c r="AA47" s="853"/>
      <c r="AB47" s="853"/>
      <c r="AC47" s="853"/>
      <c r="AD47" s="855"/>
      <c r="AE47" s="858">
        <f t="shared" ref="AE47" si="22">SUM(W47:AD48)</f>
        <v>0</v>
      </c>
      <c r="AF47" s="859"/>
      <c r="AG47" s="870">
        <f t="shared" ref="AG47" si="23">U47*AE47</f>
        <v>0</v>
      </c>
      <c r="AH47" s="870"/>
      <c r="AI47" s="871"/>
      <c r="AJ47" s="179"/>
    </row>
    <row r="48" spans="1:36">
      <c r="A48" s="875"/>
      <c r="B48" s="860"/>
      <c r="C48" s="861"/>
      <c r="D48" s="861"/>
      <c r="E48" s="861"/>
      <c r="F48" s="861"/>
      <c r="G48" s="861"/>
      <c r="H48" s="861"/>
      <c r="I48" s="861"/>
      <c r="J48" s="861"/>
      <c r="K48" s="861"/>
      <c r="L48" s="861"/>
      <c r="M48" s="861"/>
      <c r="N48" s="861"/>
      <c r="O48" s="861"/>
      <c r="P48" s="861"/>
      <c r="Q48" s="861"/>
      <c r="R48" s="847"/>
      <c r="S48" s="848"/>
      <c r="T48" s="849"/>
      <c r="U48" s="851"/>
      <c r="V48" s="851"/>
      <c r="W48" s="867"/>
      <c r="X48" s="853"/>
      <c r="Y48" s="853"/>
      <c r="Z48" s="853"/>
      <c r="AA48" s="853"/>
      <c r="AB48" s="853"/>
      <c r="AC48" s="853"/>
      <c r="AD48" s="855"/>
      <c r="AE48" s="858"/>
      <c r="AF48" s="859"/>
      <c r="AG48" s="870"/>
      <c r="AH48" s="870"/>
      <c r="AI48" s="871"/>
      <c r="AJ48" s="179"/>
    </row>
    <row r="49" spans="1:36">
      <c r="A49" s="875"/>
      <c r="B49" s="860" t="s">
        <v>221</v>
      </c>
      <c r="C49" s="861"/>
      <c r="D49" s="861"/>
      <c r="E49" s="861"/>
      <c r="F49" s="861"/>
      <c r="G49" s="861"/>
      <c r="H49" s="861"/>
      <c r="I49" s="861"/>
      <c r="J49" s="861"/>
      <c r="K49" s="861"/>
      <c r="L49" s="861"/>
      <c r="M49" s="861"/>
      <c r="N49" s="861"/>
      <c r="O49" s="861"/>
      <c r="P49" s="861"/>
      <c r="Q49" s="861"/>
      <c r="R49" s="847" t="s">
        <v>200</v>
      </c>
      <c r="S49" s="848"/>
      <c r="T49" s="849"/>
      <c r="U49" s="851">
        <v>310</v>
      </c>
      <c r="V49" s="851"/>
      <c r="W49" s="867"/>
      <c r="X49" s="853"/>
      <c r="Y49" s="853"/>
      <c r="Z49" s="853"/>
      <c r="AA49" s="853"/>
      <c r="AB49" s="853"/>
      <c r="AC49" s="853"/>
      <c r="AD49" s="855"/>
      <c r="AE49" s="858">
        <f t="shared" ref="AE49" si="24">SUM(W49:AD50)</f>
        <v>0</v>
      </c>
      <c r="AF49" s="859"/>
      <c r="AG49" s="870">
        <f t="shared" ref="AG49" si="25">U49*AE49</f>
        <v>0</v>
      </c>
      <c r="AH49" s="870"/>
      <c r="AI49" s="871"/>
      <c r="AJ49" s="179"/>
    </row>
    <row r="50" spans="1:36">
      <c r="A50" s="875"/>
      <c r="B50" s="860"/>
      <c r="C50" s="861"/>
      <c r="D50" s="861"/>
      <c r="E50" s="861"/>
      <c r="F50" s="861"/>
      <c r="G50" s="861"/>
      <c r="H50" s="861"/>
      <c r="I50" s="861"/>
      <c r="J50" s="861"/>
      <c r="K50" s="861"/>
      <c r="L50" s="861"/>
      <c r="M50" s="861"/>
      <c r="N50" s="861"/>
      <c r="O50" s="861"/>
      <c r="P50" s="861"/>
      <c r="Q50" s="861"/>
      <c r="R50" s="847"/>
      <c r="S50" s="848"/>
      <c r="T50" s="849"/>
      <c r="U50" s="851"/>
      <c r="V50" s="851"/>
      <c r="W50" s="867"/>
      <c r="X50" s="853"/>
      <c r="Y50" s="853"/>
      <c r="Z50" s="853"/>
      <c r="AA50" s="853"/>
      <c r="AB50" s="853"/>
      <c r="AC50" s="853"/>
      <c r="AD50" s="855"/>
      <c r="AE50" s="858"/>
      <c r="AF50" s="859"/>
      <c r="AG50" s="870"/>
      <c r="AH50" s="870"/>
      <c r="AI50" s="871"/>
      <c r="AJ50" s="179"/>
    </row>
    <row r="51" spans="1:36">
      <c r="A51" s="875"/>
      <c r="B51" s="860" t="s">
        <v>222</v>
      </c>
      <c r="C51" s="861"/>
      <c r="D51" s="861"/>
      <c r="E51" s="861"/>
      <c r="F51" s="861"/>
      <c r="G51" s="861"/>
      <c r="H51" s="861"/>
      <c r="I51" s="861"/>
      <c r="J51" s="861"/>
      <c r="K51" s="861"/>
      <c r="L51" s="861"/>
      <c r="M51" s="861"/>
      <c r="N51" s="861"/>
      <c r="O51" s="861"/>
      <c r="P51" s="861"/>
      <c r="Q51" s="861"/>
      <c r="R51" s="847" t="s">
        <v>200</v>
      </c>
      <c r="S51" s="848"/>
      <c r="T51" s="849"/>
      <c r="U51" s="851">
        <v>310</v>
      </c>
      <c r="V51" s="851"/>
      <c r="W51" s="867"/>
      <c r="X51" s="853"/>
      <c r="Y51" s="853"/>
      <c r="Z51" s="853"/>
      <c r="AA51" s="853"/>
      <c r="AB51" s="853"/>
      <c r="AC51" s="853"/>
      <c r="AD51" s="855"/>
      <c r="AE51" s="858">
        <f t="shared" ref="AE51" si="26">SUM(W51:AD52)</f>
        <v>0</v>
      </c>
      <c r="AF51" s="859"/>
      <c r="AG51" s="870">
        <f t="shared" ref="AG51" si="27">U51*AE51</f>
        <v>0</v>
      </c>
      <c r="AH51" s="870"/>
      <c r="AI51" s="871"/>
      <c r="AJ51" s="179"/>
    </row>
    <row r="52" spans="1:36" ht="12.75" thickBot="1">
      <c r="A52" s="875"/>
      <c r="B52" s="873"/>
      <c r="C52" s="874"/>
      <c r="D52" s="874"/>
      <c r="E52" s="874"/>
      <c r="F52" s="874"/>
      <c r="G52" s="874"/>
      <c r="H52" s="874"/>
      <c r="I52" s="874"/>
      <c r="J52" s="874"/>
      <c r="K52" s="874"/>
      <c r="L52" s="874"/>
      <c r="M52" s="874"/>
      <c r="N52" s="874"/>
      <c r="O52" s="874"/>
      <c r="P52" s="874"/>
      <c r="Q52" s="874"/>
      <c r="R52" s="898"/>
      <c r="S52" s="899"/>
      <c r="T52" s="900"/>
      <c r="U52" s="901"/>
      <c r="V52" s="901"/>
      <c r="W52" s="902"/>
      <c r="X52" s="903"/>
      <c r="Y52" s="903"/>
      <c r="Z52" s="903"/>
      <c r="AA52" s="903"/>
      <c r="AB52" s="903"/>
      <c r="AC52" s="903"/>
      <c r="AD52" s="904"/>
      <c r="AE52" s="876"/>
      <c r="AF52" s="877"/>
      <c r="AG52" s="878"/>
      <c r="AH52" s="878"/>
      <c r="AI52" s="879"/>
      <c r="AJ52" s="179"/>
    </row>
    <row r="53" spans="1:36" ht="12.75" thickTop="1">
      <c r="A53" s="880" t="s">
        <v>223</v>
      </c>
      <c r="B53" s="881"/>
      <c r="C53" s="881"/>
      <c r="D53" s="881"/>
      <c r="E53" s="881"/>
      <c r="F53" s="881"/>
      <c r="G53" s="881"/>
      <c r="H53" s="881"/>
      <c r="I53" s="881"/>
      <c r="J53" s="881"/>
      <c r="K53" s="881"/>
      <c r="L53" s="881"/>
      <c r="M53" s="881"/>
      <c r="N53" s="881"/>
      <c r="O53" s="881"/>
      <c r="P53" s="881"/>
      <c r="Q53" s="881"/>
      <c r="R53" s="881"/>
      <c r="S53" s="881"/>
      <c r="T53" s="881"/>
      <c r="U53" s="881"/>
      <c r="V53" s="881"/>
      <c r="W53" s="884"/>
      <c r="X53" s="881"/>
      <c r="Y53" s="886"/>
      <c r="Z53" s="886"/>
      <c r="AA53" s="886"/>
      <c r="AB53" s="886"/>
      <c r="AC53" s="886"/>
      <c r="AD53" s="888"/>
      <c r="AE53" s="890"/>
      <c r="AF53" s="891"/>
      <c r="AG53" s="894">
        <f>SUM(AG23:AI52)</f>
        <v>0</v>
      </c>
      <c r="AH53" s="894"/>
      <c r="AI53" s="895"/>
      <c r="AJ53" s="179"/>
    </row>
    <row r="54" spans="1:36" ht="12.75" thickBot="1">
      <c r="A54" s="882"/>
      <c r="B54" s="883"/>
      <c r="C54" s="883"/>
      <c r="D54" s="883"/>
      <c r="E54" s="883"/>
      <c r="F54" s="883"/>
      <c r="G54" s="883"/>
      <c r="H54" s="883"/>
      <c r="I54" s="883"/>
      <c r="J54" s="883"/>
      <c r="K54" s="883"/>
      <c r="L54" s="883"/>
      <c r="M54" s="883"/>
      <c r="N54" s="883"/>
      <c r="O54" s="883"/>
      <c r="P54" s="883"/>
      <c r="Q54" s="883"/>
      <c r="R54" s="883"/>
      <c r="S54" s="883"/>
      <c r="T54" s="883"/>
      <c r="U54" s="883"/>
      <c r="V54" s="883"/>
      <c r="W54" s="885"/>
      <c r="X54" s="883"/>
      <c r="Y54" s="887"/>
      <c r="Z54" s="887"/>
      <c r="AA54" s="887"/>
      <c r="AB54" s="887"/>
      <c r="AC54" s="887"/>
      <c r="AD54" s="889"/>
      <c r="AE54" s="892"/>
      <c r="AF54" s="893"/>
      <c r="AG54" s="896"/>
      <c r="AH54" s="896"/>
      <c r="AI54" s="897"/>
      <c r="AJ54" s="179"/>
    </row>
    <row r="55" spans="1:36">
      <c r="A55" s="179"/>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row>
    <row r="56" spans="1:36">
      <c r="A56" s="179"/>
      <c r="B56" s="179"/>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row>
  </sheetData>
  <sheetProtection algorithmName="SHA-512" hashValue="x7qK/NvaaBkizwWr0/xdGgKyH4Y8L1mtMAo57y8rWozjbXVYloOpAlFOWCc1A8s+SlOg8K76pXBiXqjn0KhTNg==" saltValue="wVF9Xi1xxJahRfjndVn6XQ==" spinCount="100000" sheet="1" formatCells="0"/>
  <mergeCells count="183">
    <mergeCell ref="AE51:AF52"/>
    <mergeCell ref="AG51:AI52"/>
    <mergeCell ref="A53:V54"/>
    <mergeCell ref="W53:X54"/>
    <mergeCell ref="Y53:Z54"/>
    <mergeCell ref="AA53:AB54"/>
    <mergeCell ref="AC53:AD54"/>
    <mergeCell ref="AE53:AF54"/>
    <mergeCell ref="AG53:AI54"/>
    <mergeCell ref="R51:T52"/>
    <mergeCell ref="U51:V52"/>
    <mergeCell ref="W51:X52"/>
    <mergeCell ref="Y51:Z52"/>
    <mergeCell ref="AA51:AB52"/>
    <mergeCell ref="AC51:AD52"/>
    <mergeCell ref="W49:X50"/>
    <mergeCell ref="Y49:Z50"/>
    <mergeCell ref="AA49:AB50"/>
    <mergeCell ref="AC49:AD50"/>
    <mergeCell ref="AE49:AF50"/>
    <mergeCell ref="AG49:AI50"/>
    <mergeCell ref="R47:T48"/>
    <mergeCell ref="U47:V48"/>
    <mergeCell ref="W47:X48"/>
    <mergeCell ref="Y47:Z48"/>
    <mergeCell ref="AA47:AB48"/>
    <mergeCell ref="AC47:AD48"/>
    <mergeCell ref="AE45:AF46"/>
    <mergeCell ref="AG45:AI46"/>
    <mergeCell ref="W43:X44"/>
    <mergeCell ref="Y43:Z44"/>
    <mergeCell ref="AA43:AB44"/>
    <mergeCell ref="AC43:AD44"/>
    <mergeCell ref="AE43:AF44"/>
    <mergeCell ref="AG43:AI44"/>
    <mergeCell ref="AE47:AF48"/>
    <mergeCell ref="AG47:AI48"/>
    <mergeCell ref="B47:Q48"/>
    <mergeCell ref="B49:Q50"/>
    <mergeCell ref="B51:Q52"/>
    <mergeCell ref="A39:A52"/>
    <mergeCell ref="R39:T40"/>
    <mergeCell ref="U39:V40"/>
    <mergeCell ref="R43:T44"/>
    <mergeCell ref="U43:V44"/>
    <mergeCell ref="R45:T46"/>
    <mergeCell ref="U45:V46"/>
    <mergeCell ref="R41:T42"/>
    <mergeCell ref="U41:V42"/>
    <mergeCell ref="R49:T50"/>
    <mergeCell ref="U49:V50"/>
    <mergeCell ref="AA33:AB34"/>
    <mergeCell ref="AE37:AF38"/>
    <mergeCell ref="AG37:AI38"/>
    <mergeCell ref="B39:Q40"/>
    <mergeCell ref="B41:Q42"/>
    <mergeCell ref="B43:Q44"/>
    <mergeCell ref="B45:Q46"/>
    <mergeCell ref="W39:X40"/>
    <mergeCell ref="Y39:Z40"/>
    <mergeCell ref="AA39:AB40"/>
    <mergeCell ref="AC39:AD40"/>
    <mergeCell ref="U37:V38"/>
    <mergeCell ref="AE39:AF40"/>
    <mergeCell ref="AG39:AI40"/>
    <mergeCell ref="W41:X42"/>
    <mergeCell ref="Y41:Z42"/>
    <mergeCell ref="AA41:AB42"/>
    <mergeCell ref="AC41:AD42"/>
    <mergeCell ref="AE41:AF42"/>
    <mergeCell ref="AG41:AI42"/>
    <mergeCell ref="W45:X46"/>
    <mergeCell ref="Y45:Z46"/>
    <mergeCell ref="AA45:AB46"/>
    <mergeCell ref="AC45:AD46"/>
    <mergeCell ref="AE27:AF28"/>
    <mergeCell ref="A33:A38"/>
    <mergeCell ref="W37:X38"/>
    <mergeCell ref="Y37:Z38"/>
    <mergeCell ref="AA37:AB38"/>
    <mergeCell ref="AC37:AD38"/>
    <mergeCell ref="AG33:AI34"/>
    <mergeCell ref="AG35:AI36"/>
    <mergeCell ref="B37:E38"/>
    <mergeCell ref="B33:E36"/>
    <mergeCell ref="F33:Q34"/>
    <mergeCell ref="F35:Q36"/>
    <mergeCell ref="F37:Q38"/>
    <mergeCell ref="R37:T38"/>
    <mergeCell ref="AE33:AF34"/>
    <mergeCell ref="W35:X36"/>
    <mergeCell ref="Y35:Z36"/>
    <mergeCell ref="AA35:AB36"/>
    <mergeCell ref="AC35:AD36"/>
    <mergeCell ref="AE35:AF36"/>
    <mergeCell ref="U33:V34"/>
    <mergeCell ref="U35:V36"/>
    <mergeCell ref="W33:X34"/>
    <mergeCell ref="Y33:Z34"/>
    <mergeCell ref="Y29:Z30"/>
    <mergeCell ref="AC33:AD34"/>
    <mergeCell ref="AG23:AI24"/>
    <mergeCell ref="AG25:AI26"/>
    <mergeCell ref="AG27:AI28"/>
    <mergeCell ref="AG29:AI30"/>
    <mergeCell ref="AG31:AI32"/>
    <mergeCell ref="R33:T34"/>
    <mergeCell ref="R35:T36"/>
    <mergeCell ref="AA29:AB30"/>
    <mergeCell ref="AC29:AD30"/>
    <mergeCell ref="AE29:AF30"/>
    <mergeCell ref="W31:X32"/>
    <mergeCell ref="Y31:Z32"/>
    <mergeCell ref="AA31:AB32"/>
    <mergeCell ref="AC31:AD32"/>
    <mergeCell ref="AE31:AF32"/>
    <mergeCell ref="AA25:AB26"/>
    <mergeCell ref="AC25:AD26"/>
    <mergeCell ref="AE25:AF26"/>
    <mergeCell ref="W27:X28"/>
    <mergeCell ref="Y27:Z28"/>
    <mergeCell ref="AA27:AB28"/>
    <mergeCell ref="AC27:AD28"/>
    <mergeCell ref="R23:T24"/>
    <mergeCell ref="U23:V24"/>
    <mergeCell ref="AA23:AB24"/>
    <mergeCell ref="AC23:AD24"/>
    <mergeCell ref="AE23:AF24"/>
    <mergeCell ref="B31:Q32"/>
    <mergeCell ref="A23:A32"/>
    <mergeCell ref="R25:T26"/>
    <mergeCell ref="R27:T28"/>
    <mergeCell ref="R29:T30"/>
    <mergeCell ref="R31:T32"/>
    <mergeCell ref="B23:Q24"/>
    <mergeCell ref="B25:Q26"/>
    <mergeCell ref="B27:Q28"/>
    <mergeCell ref="B29:Q30"/>
    <mergeCell ref="U25:V26"/>
    <mergeCell ref="U27:V28"/>
    <mergeCell ref="U29:V30"/>
    <mergeCell ref="U31:V32"/>
    <mergeCell ref="W23:X24"/>
    <mergeCell ref="Y23:Z24"/>
    <mergeCell ref="W25:X26"/>
    <mergeCell ref="Y25:Z26"/>
    <mergeCell ref="W29:X30"/>
    <mergeCell ref="AG21:AI22"/>
    <mergeCell ref="AE22:AF22"/>
    <mergeCell ref="AC22:AD22"/>
    <mergeCell ref="AA22:AB22"/>
    <mergeCell ref="Y22:Z22"/>
    <mergeCell ref="T18:V18"/>
    <mergeCell ref="W18:AI18"/>
    <mergeCell ref="E16:G17"/>
    <mergeCell ref="H16:S17"/>
    <mergeCell ref="A21:Q22"/>
    <mergeCell ref="W22:X22"/>
    <mergeCell ref="W21:AF21"/>
    <mergeCell ref="U21:V22"/>
    <mergeCell ref="R21:T22"/>
    <mergeCell ref="H14:S15"/>
    <mergeCell ref="W14:AI15"/>
    <mergeCell ref="W16:AI17"/>
    <mergeCell ref="A16:D18"/>
    <mergeCell ref="T16:V17"/>
    <mergeCell ref="E18:G18"/>
    <mergeCell ref="H18:S18"/>
    <mergeCell ref="A14:D15"/>
    <mergeCell ref="E14:G15"/>
    <mergeCell ref="T14:V15"/>
    <mergeCell ref="A6:AI6"/>
    <mergeCell ref="A12:D13"/>
    <mergeCell ref="F12:AI12"/>
    <mergeCell ref="E13:AI13"/>
    <mergeCell ref="A10:D11"/>
    <mergeCell ref="E10:AI11"/>
    <mergeCell ref="AB1:AD1"/>
    <mergeCell ref="AE1:AG1"/>
    <mergeCell ref="AH1:AJ1"/>
    <mergeCell ref="AB2:AD4"/>
    <mergeCell ref="AE2:AG4"/>
    <mergeCell ref="AH2:AJ4"/>
  </mergeCells>
  <phoneticPr fontId="4"/>
  <pageMargins left="0.59055118110236227" right="0.39370078740157483"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69"/>
  <sheetViews>
    <sheetView showRuler="0" showWhiteSpace="0" zoomScaleNormal="100" zoomScaleSheetLayoutView="100" workbookViewId="0">
      <selection activeCell="N30" sqref="N30:AH32"/>
    </sheetView>
  </sheetViews>
  <sheetFormatPr defaultRowHeight="12"/>
  <cols>
    <col min="1" max="1" width="1.125" style="350" customWidth="1"/>
    <col min="2" max="32" width="3.125" style="350" customWidth="1"/>
    <col min="33" max="189" width="9" style="350"/>
    <col min="190" max="190" width="3.5" style="350" customWidth="1"/>
    <col min="191" max="191" width="8.25" style="350" customWidth="1"/>
    <col min="192" max="445" width="9" style="350"/>
    <col min="446" max="446" width="3.5" style="350" customWidth="1"/>
    <col min="447" max="447" width="8.25" style="350" customWidth="1"/>
    <col min="448" max="701" width="9" style="350"/>
    <col min="702" max="702" width="3.5" style="350" customWidth="1"/>
    <col min="703" max="703" width="8.25" style="350" customWidth="1"/>
    <col min="704" max="957" width="9" style="350"/>
    <col min="958" max="958" width="3.5" style="350" customWidth="1"/>
    <col min="959" max="959" width="8.25" style="350" customWidth="1"/>
    <col min="960" max="1213" width="9" style="350"/>
    <col min="1214" max="1214" width="3.5" style="350" customWidth="1"/>
    <col min="1215" max="1215" width="8.25" style="350" customWidth="1"/>
    <col min="1216" max="1469" width="9" style="350"/>
    <col min="1470" max="1470" width="3.5" style="350" customWidth="1"/>
    <col min="1471" max="1471" width="8.25" style="350" customWidth="1"/>
    <col min="1472" max="1725" width="9" style="350"/>
    <col min="1726" max="1726" width="3.5" style="350" customWidth="1"/>
    <col min="1727" max="1727" width="8.25" style="350" customWidth="1"/>
    <col min="1728" max="1981" width="9" style="350"/>
    <col min="1982" max="1982" width="3.5" style="350" customWidth="1"/>
    <col min="1983" max="1983" width="8.25" style="350" customWidth="1"/>
    <col min="1984" max="2237" width="9" style="350"/>
    <col min="2238" max="2238" width="3.5" style="350" customWidth="1"/>
    <col min="2239" max="2239" width="8.25" style="350" customWidth="1"/>
    <col min="2240" max="2493" width="9" style="350"/>
    <col min="2494" max="2494" width="3.5" style="350" customWidth="1"/>
    <col min="2495" max="2495" width="8.25" style="350" customWidth="1"/>
    <col min="2496" max="2749" width="9" style="350"/>
    <col min="2750" max="2750" width="3.5" style="350" customWidth="1"/>
    <col min="2751" max="2751" width="8.25" style="350" customWidth="1"/>
    <col min="2752" max="3005" width="9" style="350"/>
    <col min="3006" max="3006" width="3.5" style="350" customWidth="1"/>
    <col min="3007" max="3007" width="8.25" style="350" customWidth="1"/>
    <col min="3008" max="3261" width="9" style="350"/>
    <col min="3262" max="3262" width="3.5" style="350" customWidth="1"/>
    <col min="3263" max="3263" width="8.25" style="350" customWidth="1"/>
    <col min="3264" max="3517" width="9" style="350"/>
    <col min="3518" max="3518" width="3.5" style="350" customWidth="1"/>
    <col min="3519" max="3519" width="8.25" style="350" customWidth="1"/>
    <col min="3520" max="3773" width="9" style="350"/>
    <col min="3774" max="3774" width="3.5" style="350" customWidth="1"/>
    <col min="3775" max="3775" width="8.25" style="350" customWidth="1"/>
    <col min="3776" max="4029" width="9" style="350"/>
    <col min="4030" max="4030" width="3.5" style="350" customWidth="1"/>
    <col min="4031" max="4031" width="8.25" style="350" customWidth="1"/>
    <col min="4032" max="4285" width="9" style="350"/>
    <col min="4286" max="4286" width="3.5" style="350" customWidth="1"/>
    <col min="4287" max="4287" width="8.25" style="350" customWidth="1"/>
    <col min="4288" max="4541" width="9" style="350"/>
    <col min="4542" max="4542" width="3.5" style="350" customWidth="1"/>
    <col min="4543" max="4543" width="8.25" style="350" customWidth="1"/>
    <col min="4544" max="4797" width="9" style="350"/>
    <col min="4798" max="4798" width="3.5" style="350" customWidth="1"/>
    <col min="4799" max="4799" width="8.25" style="350" customWidth="1"/>
    <col min="4800" max="5053" width="9" style="350"/>
    <col min="5054" max="5054" width="3.5" style="350" customWidth="1"/>
    <col min="5055" max="5055" width="8.25" style="350" customWidth="1"/>
    <col min="5056" max="5309" width="9" style="350"/>
    <col min="5310" max="5310" width="3.5" style="350" customWidth="1"/>
    <col min="5311" max="5311" width="8.25" style="350" customWidth="1"/>
    <col min="5312" max="5565" width="9" style="350"/>
    <col min="5566" max="5566" width="3.5" style="350" customWidth="1"/>
    <col min="5567" max="5567" width="8.25" style="350" customWidth="1"/>
    <col min="5568" max="5821" width="9" style="350"/>
    <col min="5822" max="5822" width="3.5" style="350" customWidth="1"/>
    <col min="5823" max="5823" width="8.25" style="350" customWidth="1"/>
    <col min="5824" max="6077" width="9" style="350"/>
    <col min="6078" max="6078" width="3.5" style="350" customWidth="1"/>
    <col min="6079" max="6079" width="8.25" style="350" customWidth="1"/>
    <col min="6080" max="6333" width="9" style="350"/>
    <col min="6334" max="6334" width="3.5" style="350" customWidth="1"/>
    <col min="6335" max="6335" width="8.25" style="350" customWidth="1"/>
    <col min="6336" max="6589" width="9" style="350"/>
    <col min="6590" max="6590" width="3.5" style="350" customWidth="1"/>
    <col min="6591" max="6591" width="8.25" style="350" customWidth="1"/>
    <col min="6592" max="6845" width="9" style="350"/>
    <col min="6846" max="6846" width="3.5" style="350" customWidth="1"/>
    <col min="6847" max="6847" width="8.25" style="350" customWidth="1"/>
    <col min="6848" max="7101" width="9" style="350"/>
    <col min="7102" max="7102" width="3.5" style="350" customWidth="1"/>
    <col min="7103" max="7103" width="8.25" style="350" customWidth="1"/>
    <col min="7104" max="7357" width="9" style="350"/>
    <col min="7358" max="7358" width="3.5" style="350" customWidth="1"/>
    <col min="7359" max="7359" width="8.25" style="350" customWidth="1"/>
    <col min="7360" max="7613" width="9" style="350"/>
    <col min="7614" max="7614" width="3.5" style="350" customWidth="1"/>
    <col min="7615" max="7615" width="8.25" style="350" customWidth="1"/>
    <col min="7616" max="7869" width="9" style="350"/>
    <col min="7870" max="7870" width="3.5" style="350" customWidth="1"/>
    <col min="7871" max="7871" width="8.25" style="350" customWidth="1"/>
    <col min="7872" max="8125" width="9" style="350"/>
    <col min="8126" max="8126" width="3.5" style="350" customWidth="1"/>
    <col min="8127" max="8127" width="8.25" style="350" customWidth="1"/>
    <col min="8128" max="8381" width="9" style="350"/>
    <col min="8382" max="8382" width="3.5" style="350" customWidth="1"/>
    <col min="8383" max="8383" width="8.25" style="350" customWidth="1"/>
    <col min="8384" max="8637" width="9" style="350"/>
    <col min="8638" max="8638" width="3.5" style="350" customWidth="1"/>
    <col min="8639" max="8639" width="8.25" style="350" customWidth="1"/>
    <col min="8640" max="8893" width="9" style="350"/>
    <col min="8894" max="8894" width="3.5" style="350" customWidth="1"/>
    <col min="8895" max="8895" width="8.25" style="350" customWidth="1"/>
    <col min="8896" max="9149" width="9" style="350"/>
    <col min="9150" max="9150" width="3.5" style="350" customWidth="1"/>
    <col min="9151" max="9151" width="8.25" style="350" customWidth="1"/>
    <col min="9152" max="9405" width="9" style="350"/>
    <col min="9406" max="9406" width="3.5" style="350" customWidth="1"/>
    <col min="9407" max="9407" width="8.25" style="350" customWidth="1"/>
    <col min="9408" max="9661" width="9" style="350"/>
    <col min="9662" max="9662" width="3.5" style="350" customWidth="1"/>
    <col min="9663" max="9663" width="8.25" style="350" customWidth="1"/>
    <col min="9664" max="9917" width="9" style="350"/>
    <col min="9918" max="9918" width="3.5" style="350" customWidth="1"/>
    <col min="9919" max="9919" width="8.25" style="350" customWidth="1"/>
    <col min="9920" max="10173" width="9" style="350"/>
    <col min="10174" max="10174" width="3.5" style="350" customWidth="1"/>
    <col min="10175" max="10175" width="8.25" style="350" customWidth="1"/>
    <col min="10176" max="10429" width="9" style="350"/>
    <col min="10430" max="10430" width="3.5" style="350" customWidth="1"/>
    <col min="10431" max="10431" width="8.25" style="350" customWidth="1"/>
    <col min="10432" max="10685" width="9" style="350"/>
    <col min="10686" max="10686" width="3.5" style="350" customWidth="1"/>
    <col min="10687" max="10687" width="8.25" style="350" customWidth="1"/>
    <col min="10688" max="10941" width="9" style="350"/>
    <col min="10942" max="10942" width="3.5" style="350" customWidth="1"/>
    <col min="10943" max="10943" width="8.25" style="350" customWidth="1"/>
    <col min="10944" max="11197" width="9" style="350"/>
    <col min="11198" max="11198" width="3.5" style="350" customWidth="1"/>
    <col min="11199" max="11199" width="8.25" style="350" customWidth="1"/>
    <col min="11200" max="11453" width="9" style="350"/>
    <col min="11454" max="11454" width="3.5" style="350" customWidth="1"/>
    <col min="11455" max="11455" width="8.25" style="350" customWidth="1"/>
    <col min="11456" max="11709" width="9" style="350"/>
    <col min="11710" max="11710" width="3.5" style="350" customWidth="1"/>
    <col min="11711" max="11711" width="8.25" style="350" customWidth="1"/>
    <col min="11712" max="11965" width="9" style="350"/>
    <col min="11966" max="11966" width="3.5" style="350" customWidth="1"/>
    <col min="11967" max="11967" width="8.25" style="350" customWidth="1"/>
    <col min="11968" max="12221" width="9" style="350"/>
    <col min="12222" max="12222" width="3.5" style="350" customWidth="1"/>
    <col min="12223" max="12223" width="8.25" style="350" customWidth="1"/>
    <col min="12224" max="12477" width="9" style="350"/>
    <col min="12478" max="12478" width="3.5" style="350" customWidth="1"/>
    <col min="12479" max="12479" width="8.25" style="350" customWidth="1"/>
    <col min="12480" max="12733" width="9" style="350"/>
    <col min="12734" max="12734" width="3.5" style="350" customWidth="1"/>
    <col min="12735" max="12735" width="8.25" style="350" customWidth="1"/>
    <col min="12736" max="12989" width="9" style="350"/>
    <col min="12990" max="12990" width="3.5" style="350" customWidth="1"/>
    <col min="12991" max="12991" width="8.25" style="350" customWidth="1"/>
    <col min="12992" max="13245" width="9" style="350"/>
    <col min="13246" max="13246" width="3.5" style="350" customWidth="1"/>
    <col min="13247" max="13247" width="8.25" style="350" customWidth="1"/>
    <col min="13248" max="13501" width="9" style="350"/>
    <col min="13502" max="13502" width="3.5" style="350" customWidth="1"/>
    <col min="13503" max="13503" width="8.25" style="350" customWidth="1"/>
    <col min="13504" max="13757" width="9" style="350"/>
    <col min="13758" max="13758" width="3.5" style="350" customWidth="1"/>
    <col min="13759" max="13759" width="8.25" style="350" customWidth="1"/>
    <col min="13760" max="14013" width="9" style="350"/>
    <col min="14014" max="14014" width="3.5" style="350" customWidth="1"/>
    <col min="14015" max="14015" width="8.25" style="350" customWidth="1"/>
    <col min="14016" max="14269" width="9" style="350"/>
    <col min="14270" max="14270" width="3.5" style="350" customWidth="1"/>
    <col min="14271" max="14271" width="8.25" style="350" customWidth="1"/>
    <col min="14272" max="14525" width="9" style="350"/>
    <col min="14526" max="14526" width="3.5" style="350" customWidth="1"/>
    <col min="14527" max="14527" width="8.25" style="350" customWidth="1"/>
    <col min="14528" max="14781" width="9" style="350"/>
    <col min="14782" max="14782" width="3.5" style="350" customWidth="1"/>
    <col min="14783" max="14783" width="8.25" style="350" customWidth="1"/>
    <col min="14784" max="15037" width="9" style="350"/>
    <col min="15038" max="15038" width="3.5" style="350" customWidth="1"/>
    <col min="15039" max="15039" width="8.25" style="350" customWidth="1"/>
    <col min="15040" max="15293" width="9" style="350"/>
    <col min="15294" max="15294" width="3.5" style="350" customWidth="1"/>
    <col min="15295" max="15295" width="8.25" style="350" customWidth="1"/>
    <col min="15296" max="15549" width="9" style="350"/>
    <col min="15550" max="15550" width="3.5" style="350" customWidth="1"/>
    <col min="15551" max="15551" width="8.25" style="350" customWidth="1"/>
    <col min="15552" max="15805" width="9" style="350"/>
    <col min="15806" max="15806" width="3.5" style="350" customWidth="1"/>
    <col min="15807" max="15807" width="8.25" style="350" customWidth="1"/>
    <col min="15808" max="16061" width="9" style="350"/>
    <col min="16062" max="16062" width="3.5" style="350" customWidth="1"/>
    <col min="16063" max="16063" width="8.25" style="350" customWidth="1"/>
    <col min="16064" max="16384" width="9" style="350"/>
  </cols>
  <sheetData>
    <row r="1" spans="1:32" ht="23.25" customHeight="1">
      <c r="A1" s="338"/>
      <c r="B1" s="338"/>
      <c r="C1" s="338"/>
      <c r="D1" s="338"/>
      <c r="E1" s="338"/>
      <c r="F1" s="338"/>
      <c r="G1" s="338"/>
      <c r="H1" s="338"/>
      <c r="I1" s="338"/>
      <c r="J1" s="338"/>
      <c r="K1" s="338"/>
      <c r="L1" s="338"/>
      <c r="M1" s="338"/>
      <c r="N1" s="338"/>
      <c r="O1" s="338"/>
      <c r="P1" s="338"/>
      <c r="Q1" s="338"/>
      <c r="R1" s="338"/>
      <c r="S1" s="338"/>
      <c r="T1" s="338"/>
      <c r="U1" s="338"/>
      <c r="V1" s="338"/>
      <c r="W1" s="986" t="s">
        <v>340</v>
      </c>
      <c r="X1" s="987"/>
      <c r="Y1" s="987"/>
      <c r="Z1" s="987" t="s">
        <v>325</v>
      </c>
      <c r="AA1" s="987"/>
      <c r="AB1" s="987"/>
      <c r="AC1" s="987" t="s">
        <v>326</v>
      </c>
      <c r="AD1" s="987"/>
      <c r="AE1" s="987"/>
      <c r="AF1" s="338"/>
    </row>
    <row r="2" spans="1:32">
      <c r="A2" s="351"/>
      <c r="B2" s="351"/>
      <c r="C2" s="351"/>
      <c r="D2" s="338"/>
      <c r="E2" s="338"/>
      <c r="F2" s="352"/>
      <c r="G2" s="352"/>
      <c r="H2" s="338"/>
      <c r="I2" s="338"/>
      <c r="J2" s="338"/>
      <c r="K2" s="338"/>
      <c r="L2" s="338"/>
      <c r="M2" s="338"/>
      <c r="N2" s="338"/>
      <c r="O2" s="338"/>
      <c r="P2" s="338"/>
      <c r="Q2" s="338"/>
      <c r="R2" s="338"/>
      <c r="S2" s="338"/>
      <c r="T2" s="338"/>
      <c r="U2" s="338"/>
      <c r="V2" s="338"/>
      <c r="W2" s="988"/>
      <c r="X2" s="988"/>
      <c r="Y2" s="988"/>
      <c r="Z2" s="988"/>
      <c r="AA2" s="988"/>
      <c r="AB2" s="988"/>
      <c r="AC2" s="989" t="str">
        <f>IF(申込書!AH2="","",申込書!AH2)</f>
        <v/>
      </c>
      <c r="AD2" s="989"/>
      <c r="AE2" s="989"/>
      <c r="AF2" s="338"/>
    </row>
    <row r="3" spans="1:32">
      <c r="A3" s="351"/>
      <c r="B3" s="351"/>
      <c r="C3" s="351"/>
      <c r="D3" s="338"/>
      <c r="E3" s="338"/>
      <c r="F3" s="352"/>
      <c r="G3" s="352"/>
      <c r="H3" s="338"/>
      <c r="I3" s="338"/>
      <c r="J3" s="338"/>
      <c r="K3" s="338"/>
      <c r="L3" s="338"/>
      <c r="M3" s="338"/>
      <c r="N3" s="338"/>
      <c r="O3" s="338"/>
      <c r="P3" s="338"/>
      <c r="Q3" s="338"/>
      <c r="R3" s="338"/>
      <c r="S3" s="338"/>
      <c r="T3" s="338"/>
      <c r="U3" s="338"/>
      <c r="V3" s="338"/>
      <c r="W3" s="988"/>
      <c r="X3" s="988"/>
      <c r="Y3" s="988"/>
      <c r="Z3" s="988"/>
      <c r="AA3" s="988"/>
      <c r="AB3" s="988"/>
      <c r="AC3" s="989"/>
      <c r="AD3" s="989"/>
      <c r="AE3" s="989"/>
      <c r="AF3" s="338"/>
    </row>
    <row r="4" spans="1:32">
      <c r="A4" s="338"/>
      <c r="B4" s="338"/>
      <c r="C4" s="338"/>
      <c r="D4" s="338"/>
      <c r="E4" s="338"/>
      <c r="F4" s="338"/>
      <c r="G4" s="338"/>
      <c r="H4" s="338"/>
      <c r="I4" s="338"/>
      <c r="J4" s="338"/>
      <c r="K4" s="338"/>
      <c r="L4" s="338"/>
      <c r="M4" s="338"/>
      <c r="N4" s="338"/>
      <c r="O4" s="338"/>
      <c r="P4" s="338"/>
      <c r="Q4" s="338"/>
      <c r="R4" s="338"/>
      <c r="S4" s="338"/>
      <c r="T4" s="338"/>
      <c r="U4" s="338"/>
      <c r="V4" s="338"/>
      <c r="W4" s="988"/>
      <c r="X4" s="988"/>
      <c r="Y4" s="988"/>
      <c r="Z4" s="988"/>
      <c r="AA4" s="988"/>
      <c r="AB4" s="988"/>
      <c r="AC4" s="989"/>
      <c r="AD4" s="989"/>
      <c r="AE4" s="989"/>
      <c r="AF4" s="338"/>
    </row>
    <row r="5" spans="1:32">
      <c r="A5" s="338"/>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row>
    <row r="6" spans="1:32">
      <c r="A6" s="338"/>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row>
    <row r="7" spans="1:32" ht="17.25">
      <c r="A7" s="929" t="s">
        <v>337</v>
      </c>
      <c r="B7" s="929"/>
      <c r="C7" s="929"/>
      <c r="D7" s="929"/>
      <c r="E7" s="929"/>
      <c r="F7" s="929"/>
      <c r="G7" s="929"/>
      <c r="H7" s="929"/>
      <c r="I7" s="929"/>
      <c r="J7" s="929"/>
      <c r="K7" s="929"/>
      <c r="L7" s="929"/>
      <c r="M7" s="929"/>
      <c r="N7" s="929"/>
      <c r="O7" s="929"/>
      <c r="P7" s="929"/>
      <c r="Q7" s="929"/>
      <c r="R7" s="929"/>
      <c r="S7" s="929"/>
      <c r="T7" s="929"/>
      <c r="U7" s="929"/>
      <c r="V7" s="929"/>
      <c r="W7" s="929"/>
      <c r="X7" s="929"/>
      <c r="Y7" s="929"/>
      <c r="Z7" s="929"/>
      <c r="AA7" s="929"/>
      <c r="AB7" s="929"/>
      <c r="AC7" s="929"/>
      <c r="AD7" s="929"/>
      <c r="AE7" s="929"/>
      <c r="AF7" s="929"/>
    </row>
    <row r="8" spans="1:32">
      <c r="A8" s="338"/>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row>
    <row r="9" spans="1:32">
      <c r="A9" s="338"/>
      <c r="B9" s="338"/>
      <c r="C9" s="353"/>
      <c r="D9" s="353"/>
      <c r="E9" s="353"/>
      <c r="F9" s="353"/>
      <c r="G9" s="353"/>
      <c r="H9" s="353"/>
      <c r="I9" s="353"/>
      <c r="J9" s="353"/>
      <c r="K9" s="338"/>
      <c r="L9" s="338"/>
      <c r="M9" s="338"/>
      <c r="N9" s="338"/>
      <c r="O9" s="338"/>
      <c r="P9" s="338"/>
      <c r="Q9" s="338"/>
      <c r="R9" s="338"/>
      <c r="S9" s="338"/>
      <c r="T9" s="338"/>
      <c r="U9" s="338"/>
      <c r="V9" s="338"/>
      <c r="W9" s="338"/>
      <c r="X9" s="338"/>
      <c r="Y9" s="338"/>
      <c r="Z9" s="338"/>
      <c r="AA9" s="338"/>
      <c r="AB9" s="338"/>
      <c r="AC9" s="338"/>
      <c r="AD9" s="338"/>
      <c r="AE9" s="338"/>
      <c r="AF9" s="338"/>
    </row>
    <row r="10" spans="1:32" s="199" customFormat="1">
      <c r="A10" s="930" t="s">
        <v>365</v>
      </c>
      <c r="B10" s="930"/>
      <c r="C10" s="930"/>
      <c r="D10" s="930"/>
      <c r="E10" s="930"/>
      <c r="F10" s="930"/>
      <c r="G10" s="930"/>
      <c r="H10" s="930"/>
      <c r="I10" s="930"/>
      <c r="J10" s="930"/>
      <c r="K10" s="930"/>
      <c r="L10" s="930"/>
      <c r="M10" s="930"/>
      <c r="N10" s="930"/>
      <c r="O10" s="930"/>
      <c r="P10" s="930"/>
      <c r="Q10" s="930"/>
      <c r="R10" s="930"/>
      <c r="S10" s="930"/>
      <c r="T10" s="930"/>
      <c r="U10" s="930"/>
      <c r="V10" s="930"/>
      <c r="W10" s="930"/>
      <c r="X10" s="930"/>
      <c r="Y10" s="930"/>
      <c r="Z10" s="930"/>
      <c r="AA10" s="930"/>
      <c r="AB10" s="930"/>
      <c r="AC10" s="930"/>
      <c r="AD10" s="930"/>
      <c r="AE10" s="930"/>
      <c r="AF10" s="930"/>
    </row>
    <row r="11" spans="1:32" s="199" customFormat="1">
      <c r="A11" s="349"/>
      <c r="B11" s="349"/>
      <c r="C11" s="349"/>
      <c r="D11" s="349"/>
      <c r="E11" s="349"/>
      <c r="F11" s="349"/>
      <c r="G11" s="349"/>
      <c r="H11" s="349"/>
      <c r="I11" s="349"/>
      <c r="J11" s="349"/>
      <c r="K11" s="349"/>
      <c r="L11" s="349"/>
      <c r="M11" s="349"/>
      <c r="N11" s="349"/>
      <c r="O11" s="349"/>
      <c r="P11" s="349"/>
      <c r="Q11" s="349"/>
      <c r="R11" s="349"/>
      <c r="S11" s="349"/>
      <c r="T11" s="349"/>
      <c r="U11" s="349"/>
      <c r="V11" s="349"/>
      <c r="W11" s="349"/>
      <c r="X11" s="349"/>
      <c r="Y11" s="349"/>
      <c r="Z11" s="349"/>
      <c r="AA11" s="349"/>
      <c r="AB11" s="349"/>
      <c r="AC11" s="349"/>
      <c r="AD11" s="349"/>
      <c r="AE11" s="349"/>
      <c r="AF11" s="349"/>
    </row>
    <row r="12" spans="1:32" s="199" customFormat="1">
      <c r="A12" s="143"/>
      <c r="B12" s="143"/>
      <c r="C12" s="143"/>
      <c r="D12" s="143"/>
      <c r="E12" s="143"/>
      <c r="F12" s="143"/>
      <c r="G12" s="143"/>
      <c r="H12" s="143"/>
      <c r="I12" s="143"/>
      <c r="J12" s="143"/>
      <c r="K12" s="143"/>
      <c r="L12" s="195"/>
      <c r="M12" s="195"/>
      <c r="N12" s="195"/>
      <c r="O12" s="195"/>
      <c r="P12" s="195"/>
      <c r="Q12" s="195"/>
      <c r="R12" s="195"/>
      <c r="S12" s="143"/>
      <c r="T12" s="143"/>
      <c r="U12" s="143"/>
      <c r="V12" s="143"/>
      <c r="W12" s="143"/>
      <c r="X12" s="143"/>
      <c r="Y12" s="143"/>
      <c r="Z12" s="143"/>
      <c r="AA12" s="143"/>
      <c r="AB12" s="143"/>
      <c r="AC12" s="143"/>
      <c r="AD12" s="143"/>
      <c r="AE12" s="143"/>
      <c r="AF12" s="143"/>
    </row>
    <row r="13" spans="1:32" s="199" customFormat="1" ht="12" customHeight="1">
      <c r="A13" s="462" t="s">
        <v>336</v>
      </c>
      <c r="B13" s="462"/>
      <c r="C13" s="462"/>
      <c r="D13" s="462"/>
      <c r="E13" s="462"/>
      <c r="F13" s="462"/>
      <c r="G13" s="462"/>
      <c r="H13" s="462"/>
      <c r="I13" s="462"/>
      <c r="J13" s="462"/>
      <c r="K13" s="462"/>
      <c r="L13" s="462"/>
      <c r="M13" s="462"/>
      <c r="N13" s="462"/>
      <c r="O13" s="462"/>
      <c r="P13" s="462"/>
      <c r="Q13" s="462"/>
      <c r="R13" s="462"/>
      <c r="S13" s="462"/>
      <c r="T13" s="462"/>
      <c r="U13" s="462"/>
      <c r="V13" s="462"/>
      <c r="W13" s="462"/>
      <c r="X13" s="462"/>
      <c r="Y13" s="462"/>
      <c r="Z13" s="462"/>
      <c r="AA13" s="462"/>
      <c r="AB13" s="462"/>
      <c r="AC13" s="462"/>
      <c r="AD13" s="462"/>
      <c r="AE13" s="462"/>
      <c r="AF13" s="462"/>
    </row>
    <row r="14" spans="1:32" s="199" customFormat="1">
      <c r="A14" s="344"/>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row>
    <row r="15" spans="1:32" s="199" customFormat="1">
      <c r="A15" s="517" t="s">
        <v>67</v>
      </c>
      <c r="B15" s="517"/>
      <c r="C15" s="517"/>
      <c r="D15" s="517"/>
      <c r="E15" s="517"/>
      <c r="F15" s="517"/>
      <c r="G15" s="517"/>
      <c r="H15" s="517"/>
      <c r="I15" s="517"/>
      <c r="J15" s="517"/>
      <c r="K15" s="517"/>
      <c r="L15" s="517"/>
      <c r="M15" s="517"/>
      <c r="N15" s="517"/>
      <c r="O15" s="517"/>
      <c r="P15" s="517"/>
      <c r="Q15" s="517"/>
      <c r="R15" s="517"/>
      <c r="S15" s="517"/>
      <c r="T15" s="517"/>
      <c r="U15" s="517"/>
      <c r="V15" s="517"/>
      <c r="W15" s="517"/>
      <c r="X15" s="517"/>
      <c r="Y15" s="517"/>
      <c r="Z15" s="517"/>
      <c r="AA15" s="517"/>
      <c r="AB15" s="517"/>
      <c r="AC15" s="517"/>
      <c r="AD15" s="517"/>
      <c r="AE15" s="517"/>
      <c r="AF15" s="517"/>
    </row>
    <row r="16" spans="1:32" s="199" customFormat="1" ht="9.75" customHeight="1">
      <c r="A16" s="191"/>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row>
    <row r="17" spans="1:32" s="356" customFormat="1" ht="15" thickBot="1">
      <c r="A17" s="339"/>
      <c r="B17" s="354" t="s">
        <v>327</v>
      </c>
      <c r="C17" s="339"/>
      <c r="D17" s="339"/>
      <c r="E17" s="339"/>
      <c r="F17" s="339"/>
      <c r="G17" s="355"/>
      <c r="H17" s="339"/>
      <c r="I17" s="339"/>
      <c r="J17" s="355"/>
      <c r="K17" s="347"/>
      <c r="L17" s="339"/>
      <c r="M17" s="339"/>
      <c r="N17" s="339"/>
      <c r="O17" s="339"/>
      <c r="P17" s="339"/>
      <c r="Q17" s="339"/>
      <c r="R17" s="339"/>
      <c r="S17" s="339"/>
      <c r="T17" s="339"/>
      <c r="U17" s="339"/>
      <c r="V17" s="339"/>
      <c r="W17" s="339"/>
      <c r="X17" s="339"/>
      <c r="Y17" s="339"/>
      <c r="Z17" s="339"/>
      <c r="AA17" s="339"/>
      <c r="AB17" s="339"/>
      <c r="AC17" s="339"/>
      <c r="AD17" s="339"/>
      <c r="AE17" s="339"/>
      <c r="AF17" s="339"/>
    </row>
    <row r="18" spans="1:32" s="356" customFormat="1" ht="13.5" customHeight="1">
      <c r="A18" s="339"/>
      <c r="B18" s="931" t="str">
        <f>申込書!A16</f>
        <v>主催団体名</v>
      </c>
      <c r="C18" s="932"/>
      <c r="D18" s="932"/>
      <c r="E18" s="932"/>
      <c r="F18" s="932"/>
      <c r="G18" s="948"/>
      <c r="H18" s="933" t="str">
        <f>IF(申込書!E16="","",申込書!E16)</f>
        <v/>
      </c>
      <c r="I18" s="934"/>
      <c r="J18" s="934"/>
      <c r="K18" s="934"/>
      <c r="L18" s="934"/>
      <c r="M18" s="934"/>
      <c r="N18" s="934"/>
      <c r="O18" s="934"/>
      <c r="P18" s="934"/>
      <c r="Q18" s="934"/>
      <c r="R18" s="934"/>
      <c r="S18" s="934"/>
      <c r="T18" s="934"/>
      <c r="U18" s="934"/>
      <c r="V18" s="934"/>
      <c r="W18" s="934"/>
      <c r="X18" s="934"/>
      <c r="Y18" s="934"/>
      <c r="Z18" s="934"/>
      <c r="AA18" s="934"/>
      <c r="AB18" s="934"/>
      <c r="AC18" s="934"/>
      <c r="AD18" s="934"/>
      <c r="AE18" s="935"/>
      <c r="AF18" s="338"/>
    </row>
    <row r="19" spans="1:32" s="356" customFormat="1" ht="13.5" customHeight="1">
      <c r="A19" s="339"/>
      <c r="B19" s="916"/>
      <c r="C19" s="917"/>
      <c r="D19" s="917"/>
      <c r="E19" s="917"/>
      <c r="F19" s="917"/>
      <c r="G19" s="949"/>
      <c r="H19" s="936"/>
      <c r="I19" s="937"/>
      <c r="J19" s="937"/>
      <c r="K19" s="937"/>
      <c r="L19" s="937"/>
      <c r="M19" s="937"/>
      <c r="N19" s="937"/>
      <c r="O19" s="937"/>
      <c r="P19" s="937"/>
      <c r="Q19" s="937"/>
      <c r="R19" s="937"/>
      <c r="S19" s="937"/>
      <c r="T19" s="937"/>
      <c r="U19" s="937"/>
      <c r="V19" s="937"/>
      <c r="W19" s="937"/>
      <c r="X19" s="937"/>
      <c r="Y19" s="937"/>
      <c r="Z19" s="937"/>
      <c r="AA19" s="937"/>
      <c r="AB19" s="937"/>
      <c r="AC19" s="937"/>
      <c r="AD19" s="937"/>
      <c r="AE19" s="938"/>
      <c r="AF19" s="338"/>
    </row>
    <row r="20" spans="1:32" s="356" customFormat="1">
      <c r="A20" s="339"/>
      <c r="B20" s="950"/>
      <c r="C20" s="951"/>
      <c r="D20" s="951"/>
      <c r="E20" s="951"/>
      <c r="F20" s="951"/>
      <c r="G20" s="952"/>
      <c r="H20" s="953"/>
      <c r="I20" s="954"/>
      <c r="J20" s="954"/>
      <c r="K20" s="954"/>
      <c r="L20" s="954"/>
      <c r="M20" s="954"/>
      <c r="N20" s="954"/>
      <c r="O20" s="954"/>
      <c r="P20" s="954"/>
      <c r="Q20" s="954"/>
      <c r="R20" s="954"/>
      <c r="S20" s="954"/>
      <c r="T20" s="954"/>
      <c r="U20" s="954"/>
      <c r="V20" s="954"/>
      <c r="W20" s="954"/>
      <c r="X20" s="954"/>
      <c r="Y20" s="954"/>
      <c r="Z20" s="954"/>
      <c r="AA20" s="954"/>
      <c r="AB20" s="954"/>
      <c r="AC20" s="954"/>
      <c r="AD20" s="954"/>
      <c r="AE20" s="955"/>
      <c r="AF20" s="338"/>
    </row>
    <row r="21" spans="1:32" s="356" customFormat="1" ht="13.5" customHeight="1">
      <c r="A21" s="339"/>
      <c r="B21" s="939" t="str">
        <f>IF(申込書!AM17=2,"顧問",IF(申込書!AM17=3,"代表理事、団体長等",IF(申込書!AM17=4,"催事責任者",IF(申込書!AM17=6,"実行委員長、支部長、学会長等、萩友会プレミアム会員である催事責任者","責任者等"))))</f>
        <v>責任者等</v>
      </c>
      <c r="C21" s="940"/>
      <c r="D21" s="940"/>
      <c r="E21" s="940"/>
      <c r="F21" s="940"/>
      <c r="G21" s="941"/>
      <c r="H21" s="956" t="str">
        <f>申込書!E24</f>
        <v>氏名</v>
      </c>
      <c r="I21" s="915"/>
      <c r="J21" s="957"/>
      <c r="K21" s="961"/>
      <c r="L21" s="962"/>
      <c r="M21" s="962"/>
      <c r="N21" s="962"/>
      <c r="O21" s="962"/>
      <c r="P21" s="962"/>
      <c r="Q21" s="962"/>
      <c r="R21" s="963"/>
      <c r="S21" s="970" t="str">
        <f>申込書!T24</f>
        <v>職名</v>
      </c>
      <c r="T21" s="971"/>
      <c r="U21" s="972"/>
      <c r="V21" s="977" t="str">
        <f>IF(申込書!W25="","",申込書!W25)</f>
        <v/>
      </c>
      <c r="W21" s="978"/>
      <c r="X21" s="978"/>
      <c r="Y21" s="978"/>
      <c r="Z21" s="978"/>
      <c r="AA21" s="978"/>
      <c r="AB21" s="978"/>
      <c r="AC21" s="978"/>
      <c r="AD21" s="978"/>
      <c r="AE21" s="979"/>
      <c r="AF21" s="339"/>
    </row>
    <row r="22" spans="1:32" s="356" customFormat="1" ht="13.5" customHeight="1">
      <c r="A22" s="339"/>
      <c r="B22" s="942"/>
      <c r="C22" s="943"/>
      <c r="D22" s="943"/>
      <c r="E22" s="943"/>
      <c r="F22" s="943"/>
      <c r="G22" s="944"/>
      <c r="H22" s="958"/>
      <c r="I22" s="917"/>
      <c r="J22" s="949"/>
      <c r="K22" s="964"/>
      <c r="L22" s="965"/>
      <c r="M22" s="965"/>
      <c r="N22" s="965"/>
      <c r="O22" s="965"/>
      <c r="P22" s="965"/>
      <c r="Q22" s="965"/>
      <c r="R22" s="966"/>
      <c r="S22" s="973"/>
      <c r="T22" s="909"/>
      <c r="U22" s="974"/>
      <c r="V22" s="980"/>
      <c r="W22" s="981"/>
      <c r="X22" s="981"/>
      <c r="Y22" s="981"/>
      <c r="Z22" s="981"/>
      <c r="AA22" s="981"/>
      <c r="AB22" s="981"/>
      <c r="AC22" s="981"/>
      <c r="AD22" s="981"/>
      <c r="AE22" s="982"/>
      <c r="AF22" s="339"/>
    </row>
    <row r="23" spans="1:32" s="356" customFormat="1" ht="13.5" customHeight="1">
      <c r="A23" s="339"/>
      <c r="B23" s="942"/>
      <c r="C23" s="943"/>
      <c r="D23" s="943"/>
      <c r="E23" s="943"/>
      <c r="F23" s="943"/>
      <c r="G23" s="944"/>
      <c r="H23" s="958"/>
      <c r="I23" s="917"/>
      <c r="J23" s="949"/>
      <c r="K23" s="964"/>
      <c r="L23" s="965"/>
      <c r="M23" s="965"/>
      <c r="N23" s="965"/>
      <c r="O23" s="965"/>
      <c r="P23" s="965"/>
      <c r="Q23" s="965"/>
      <c r="R23" s="966"/>
      <c r="S23" s="973"/>
      <c r="T23" s="909"/>
      <c r="U23" s="974"/>
      <c r="V23" s="980"/>
      <c r="W23" s="981"/>
      <c r="X23" s="981"/>
      <c r="Y23" s="981"/>
      <c r="Z23" s="981"/>
      <c r="AA23" s="981"/>
      <c r="AB23" s="981"/>
      <c r="AC23" s="981"/>
      <c r="AD23" s="981"/>
      <c r="AE23" s="982"/>
      <c r="AF23" s="339"/>
    </row>
    <row r="24" spans="1:32" s="356" customFormat="1" ht="14.25" customHeight="1" thickBot="1">
      <c r="A24" s="339"/>
      <c r="B24" s="945"/>
      <c r="C24" s="946"/>
      <c r="D24" s="946"/>
      <c r="E24" s="946"/>
      <c r="F24" s="946"/>
      <c r="G24" s="947"/>
      <c r="H24" s="959"/>
      <c r="I24" s="919"/>
      <c r="J24" s="960"/>
      <c r="K24" s="967"/>
      <c r="L24" s="968"/>
      <c r="M24" s="968"/>
      <c r="N24" s="968"/>
      <c r="O24" s="968"/>
      <c r="P24" s="968"/>
      <c r="Q24" s="968"/>
      <c r="R24" s="969"/>
      <c r="S24" s="975"/>
      <c r="T24" s="912"/>
      <c r="U24" s="976"/>
      <c r="V24" s="983"/>
      <c r="W24" s="984"/>
      <c r="X24" s="984"/>
      <c r="Y24" s="984"/>
      <c r="Z24" s="984"/>
      <c r="AA24" s="984"/>
      <c r="AB24" s="984"/>
      <c r="AC24" s="984"/>
      <c r="AD24" s="984"/>
      <c r="AE24" s="985"/>
      <c r="AF24" s="339"/>
    </row>
    <row r="25" spans="1:32" s="356" customFormat="1">
      <c r="A25" s="339"/>
      <c r="B25" s="346"/>
      <c r="C25" s="346"/>
      <c r="D25" s="346"/>
      <c r="E25" s="346"/>
      <c r="F25" s="346"/>
      <c r="G25" s="346"/>
      <c r="H25" s="346"/>
      <c r="I25" s="339"/>
      <c r="J25" s="339"/>
      <c r="K25" s="339"/>
      <c r="L25" s="339"/>
      <c r="M25" s="339"/>
      <c r="N25" s="339"/>
      <c r="O25" s="339"/>
      <c r="P25" s="339"/>
      <c r="Q25" s="339"/>
      <c r="R25" s="339"/>
      <c r="S25" s="347"/>
      <c r="T25" s="347"/>
      <c r="U25" s="347"/>
      <c r="V25" s="339"/>
      <c r="W25" s="339"/>
      <c r="X25" s="339"/>
      <c r="Y25" s="339"/>
      <c r="Z25" s="339"/>
      <c r="AA25" s="339"/>
      <c r="AB25" s="339"/>
      <c r="AC25" s="339"/>
      <c r="AD25" s="339"/>
      <c r="AE25" s="339"/>
      <c r="AF25" s="339"/>
    </row>
    <row r="26" spans="1:32" s="356" customFormat="1" ht="15" thickBot="1">
      <c r="A26" s="339"/>
      <c r="B26" s="345" t="s">
        <v>328</v>
      </c>
      <c r="C26" s="346"/>
      <c r="D26" s="346"/>
      <c r="E26" s="346"/>
      <c r="F26" s="346"/>
      <c r="G26" s="346"/>
      <c r="H26" s="346"/>
      <c r="I26" s="339"/>
      <c r="J26" s="339"/>
      <c r="K26" s="339"/>
      <c r="L26" s="339"/>
      <c r="M26" s="339"/>
      <c r="N26" s="339"/>
      <c r="O26" s="339"/>
      <c r="P26" s="339"/>
      <c r="Q26" s="339"/>
      <c r="R26" s="339"/>
      <c r="S26" s="347"/>
      <c r="T26" s="347"/>
      <c r="U26" s="347"/>
      <c r="V26" s="339"/>
      <c r="W26" s="339"/>
      <c r="X26" s="339"/>
      <c r="Y26" s="339"/>
      <c r="Z26" s="339"/>
      <c r="AA26" s="339"/>
      <c r="AB26" s="339"/>
      <c r="AC26" s="339"/>
      <c r="AD26" s="339"/>
      <c r="AE26" s="339"/>
      <c r="AF26" s="339"/>
    </row>
    <row r="27" spans="1:32" s="356" customFormat="1">
      <c r="A27" s="339"/>
      <c r="B27" s="931" t="str">
        <f>申込書!A33</f>
        <v>催事名</v>
      </c>
      <c r="C27" s="932"/>
      <c r="D27" s="932"/>
      <c r="E27" s="932"/>
      <c r="F27" s="933" t="str">
        <f>IF(申込書!E33="","",申込書!E33)</f>
        <v/>
      </c>
      <c r="G27" s="934"/>
      <c r="H27" s="934"/>
      <c r="I27" s="934"/>
      <c r="J27" s="934"/>
      <c r="K27" s="934"/>
      <c r="L27" s="934"/>
      <c r="M27" s="934"/>
      <c r="N27" s="934"/>
      <c r="O27" s="934"/>
      <c r="P27" s="934"/>
      <c r="Q27" s="934"/>
      <c r="R27" s="934"/>
      <c r="S27" s="934"/>
      <c r="T27" s="934"/>
      <c r="U27" s="934"/>
      <c r="V27" s="934"/>
      <c r="W27" s="934"/>
      <c r="X27" s="934"/>
      <c r="Y27" s="934"/>
      <c r="Z27" s="934"/>
      <c r="AA27" s="934"/>
      <c r="AB27" s="934"/>
      <c r="AC27" s="934"/>
      <c r="AD27" s="934"/>
      <c r="AE27" s="935"/>
      <c r="AF27" s="338"/>
    </row>
    <row r="28" spans="1:32" s="356" customFormat="1">
      <c r="A28" s="339"/>
      <c r="B28" s="916"/>
      <c r="C28" s="917"/>
      <c r="D28" s="917"/>
      <c r="E28" s="917"/>
      <c r="F28" s="936"/>
      <c r="G28" s="937"/>
      <c r="H28" s="937"/>
      <c r="I28" s="937"/>
      <c r="J28" s="937"/>
      <c r="K28" s="937"/>
      <c r="L28" s="937"/>
      <c r="M28" s="937"/>
      <c r="N28" s="937"/>
      <c r="O28" s="937"/>
      <c r="P28" s="937"/>
      <c r="Q28" s="937"/>
      <c r="R28" s="937"/>
      <c r="S28" s="937"/>
      <c r="T28" s="937"/>
      <c r="U28" s="937"/>
      <c r="V28" s="937"/>
      <c r="W28" s="937"/>
      <c r="X28" s="937"/>
      <c r="Y28" s="937"/>
      <c r="Z28" s="937"/>
      <c r="AA28" s="937"/>
      <c r="AB28" s="937"/>
      <c r="AC28" s="937"/>
      <c r="AD28" s="937"/>
      <c r="AE28" s="938"/>
      <c r="AF28" s="338"/>
    </row>
    <row r="29" spans="1:32" s="356" customFormat="1">
      <c r="A29" s="339"/>
      <c r="B29" s="916"/>
      <c r="C29" s="917"/>
      <c r="D29" s="917"/>
      <c r="E29" s="917"/>
      <c r="F29" s="936"/>
      <c r="G29" s="937"/>
      <c r="H29" s="937"/>
      <c r="I29" s="937"/>
      <c r="J29" s="937"/>
      <c r="K29" s="937"/>
      <c r="L29" s="937"/>
      <c r="M29" s="937"/>
      <c r="N29" s="937"/>
      <c r="O29" s="937"/>
      <c r="P29" s="937"/>
      <c r="Q29" s="937"/>
      <c r="R29" s="937"/>
      <c r="S29" s="937"/>
      <c r="T29" s="937"/>
      <c r="U29" s="937"/>
      <c r="V29" s="937"/>
      <c r="W29" s="937"/>
      <c r="X29" s="937"/>
      <c r="Y29" s="937"/>
      <c r="Z29" s="937"/>
      <c r="AA29" s="937"/>
      <c r="AB29" s="937"/>
      <c r="AC29" s="937"/>
      <c r="AD29" s="937"/>
      <c r="AE29" s="938"/>
      <c r="AF29" s="338"/>
    </row>
    <row r="30" spans="1:32" s="356" customFormat="1">
      <c r="A30" s="339"/>
      <c r="B30" s="914" t="str">
        <f>申込書!A62</f>
        <v>使用年月日</v>
      </c>
      <c r="C30" s="915"/>
      <c r="D30" s="915"/>
      <c r="E30" s="915"/>
      <c r="F30" s="920">
        <f>使用者情報!H3</f>
        <v>0</v>
      </c>
      <c r="G30" s="921"/>
      <c r="H30" s="921"/>
      <c r="I30" s="921"/>
      <c r="J30" s="921"/>
      <c r="K30" s="921"/>
      <c r="L30" s="921"/>
      <c r="M30" s="921"/>
      <c r="N30" s="921"/>
      <c r="O30" s="921"/>
      <c r="P30" s="921"/>
      <c r="Q30" s="915" t="str">
        <f>IF(使用者情報!H3=使用者情報!I3,"","～")</f>
        <v/>
      </c>
      <c r="R30" s="915"/>
      <c r="S30" s="915"/>
      <c r="T30" s="921" t="str">
        <f>IF(使用者情報!H3=使用者情報!I3,"",使用者情報!I3)</f>
        <v/>
      </c>
      <c r="U30" s="921"/>
      <c r="V30" s="921"/>
      <c r="W30" s="921"/>
      <c r="X30" s="921"/>
      <c r="Y30" s="921"/>
      <c r="Z30" s="921"/>
      <c r="AA30" s="921"/>
      <c r="AB30" s="921"/>
      <c r="AC30" s="921"/>
      <c r="AD30" s="921"/>
      <c r="AE30" s="926"/>
      <c r="AF30" s="338"/>
    </row>
    <row r="31" spans="1:32" s="356" customFormat="1">
      <c r="A31" s="339"/>
      <c r="B31" s="916"/>
      <c r="C31" s="917"/>
      <c r="D31" s="917"/>
      <c r="E31" s="917"/>
      <c r="F31" s="922"/>
      <c r="G31" s="923"/>
      <c r="H31" s="923"/>
      <c r="I31" s="923"/>
      <c r="J31" s="923"/>
      <c r="K31" s="923"/>
      <c r="L31" s="923"/>
      <c r="M31" s="923"/>
      <c r="N31" s="923"/>
      <c r="O31" s="923"/>
      <c r="P31" s="923"/>
      <c r="Q31" s="917"/>
      <c r="R31" s="917"/>
      <c r="S31" s="917"/>
      <c r="T31" s="923"/>
      <c r="U31" s="923"/>
      <c r="V31" s="923"/>
      <c r="W31" s="923"/>
      <c r="X31" s="923"/>
      <c r="Y31" s="923"/>
      <c r="Z31" s="923"/>
      <c r="AA31" s="923"/>
      <c r="AB31" s="923"/>
      <c r="AC31" s="923"/>
      <c r="AD31" s="923"/>
      <c r="AE31" s="927"/>
      <c r="AF31" s="338"/>
    </row>
    <row r="32" spans="1:32" s="356" customFormat="1" ht="12.75" thickBot="1">
      <c r="A32" s="339"/>
      <c r="B32" s="918"/>
      <c r="C32" s="919"/>
      <c r="D32" s="919"/>
      <c r="E32" s="919"/>
      <c r="F32" s="924"/>
      <c r="G32" s="925"/>
      <c r="H32" s="925"/>
      <c r="I32" s="925"/>
      <c r="J32" s="925"/>
      <c r="K32" s="925"/>
      <c r="L32" s="925"/>
      <c r="M32" s="925"/>
      <c r="N32" s="925"/>
      <c r="O32" s="925"/>
      <c r="P32" s="925"/>
      <c r="Q32" s="919"/>
      <c r="R32" s="919"/>
      <c r="S32" s="919"/>
      <c r="T32" s="925"/>
      <c r="U32" s="925"/>
      <c r="V32" s="925"/>
      <c r="W32" s="925"/>
      <c r="X32" s="925"/>
      <c r="Y32" s="925"/>
      <c r="Z32" s="925"/>
      <c r="AA32" s="925"/>
      <c r="AB32" s="925"/>
      <c r="AC32" s="925"/>
      <c r="AD32" s="925"/>
      <c r="AE32" s="928"/>
      <c r="AF32" s="338"/>
    </row>
    <row r="33" spans="1:32" s="356" customFormat="1">
      <c r="A33" s="339"/>
      <c r="B33" s="346"/>
      <c r="C33" s="346"/>
      <c r="D33" s="346"/>
      <c r="E33" s="346"/>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38"/>
    </row>
    <row r="34" spans="1:32" s="356" customFormat="1">
      <c r="A34" s="339"/>
      <c r="B34" s="339"/>
      <c r="C34" s="339"/>
      <c r="D34" s="339"/>
      <c r="E34" s="339"/>
      <c r="F34" s="339"/>
      <c r="G34" s="339"/>
      <c r="H34" s="339"/>
      <c r="I34" s="339"/>
      <c r="J34" s="339"/>
      <c r="K34" s="339"/>
      <c r="L34" s="339"/>
      <c r="M34" s="339"/>
      <c r="N34" s="339"/>
      <c r="O34" s="339"/>
      <c r="P34" s="339"/>
      <c r="Q34" s="339"/>
      <c r="R34" s="339"/>
      <c r="S34" s="339"/>
      <c r="T34" s="339"/>
      <c r="U34" s="339"/>
      <c r="V34" s="339"/>
      <c r="W34" s="339"/>
      <c r="X34" s="339"/>
      <c r="Y34" s="339"/>
      <c r="Z34" s="339"/>
      <c r="AA34" s="339"/>
      <c r="AB34" s="339"/>
      <c r="AC34" s="339"/>
      <c r="AD34" s="339"/>
      <c r="AE34" s="339"/>
      <c r="AF34" s="339"/>
    </row>
    <row r="35" spans="1:32" s="356" customFormat="1" ht="12.75" thickBot="1">
      <c r="A35" s="339"/>
      <c r="B35" s="339" t="s">
        <v>329</v>
      </c>
      <c r="C35" s="339"/>
      <c r="D35" s="351"/>
      <c r="E35" s="351"/>
      <c r="F35" s="351"/>
      <c r="G35" s="351"/>
      <c r="H35" s="351"/>
      <c r="I35" s="351"/>
      <c r="J35" s="351"/>
      <c r="K35" s="351"/>
      <c r="L35" s="339"/>
      <c r="M35" s="339"/>
      <c r="N35" s="339"/>
      <c r="O35" s="339"/>
      <c r="P35" s="339"/>
      <c r="Q35" s="339"/>
      <c r="R35" s="339"/>
      <c r="S35" s="339"/>
      <c r="T35" s="339"/>
      <c r="U35" s="339"/>
      <c r="V35" s="339"/>
      <c r="W35" s="339"/>
      <c r="X35" s="339"/>
      <c r="Y35" s="339"/>
      <c r="Z35" s="339"/>
      <c r="AA35" s="339"/>
      <c r="AB35" s="339"/>
      <c r="AC35" s="339"/>
      <c r="AD35" s="339"/>
      <c r="AE35" s="339"/>
      <c r="AF35" s="339"/>
    </row>
    <row r="36" spans="1:32" s="356" customFormat="1">
      <c r="A36" s="339"/>
      <c r="B36" s="905" t="str">
        <f>IF(申込書!AM17=2,"学友会加盟団体、学友会準加盟団体又は部局等が認めた学生団体が主催する事業",IF(AND(申込書!AM17=3,申込書!E42="無料"),"萩友会又は萩友会の登録団体が主催する事業で入場料を徴収しないもの",IF(AND(申込書!AM17=3,申込書!E42="有料"),"萩友会又は萩友会の登録団体が主催する事業で入場料を徴収するもの",IF(申込書!AM17=4,"本学の教職員又は学生が責任者として主催する事業",IF(申込書!AM17=6,"萩友会プレミアム会員が責任者として開催する学術会議","")))))</f>
        <v/>
      </c>
      <c r="C36" s="906"/>
      <c r="D36" s="906"/>
      <c r="E36" s="906"/>
      <c r="F36" s="906"/>
      <c r="G36" s="906"/>
      <c r="H36" s="906"/>
      <c r="I36" s="906"/>
      <c r="J36" s="906"/>
      <c r="K36" s="906"/>
      <c r="L36" s="906"/>
      <c r="M36" s="906"/>
      <c r="N36" s="906"/>
      <c r="O36" s="906"/>
      <c r="P36" s="906"/>
      <c r="Q36" s="906"/>
      <c r="R36" s="906"/>
      <c r="S36" s="906"/>
      <c r="T36" s="906"/>
      <c r="U36" s="906"/>
      <c r="V36" s="906"/>
      <c r="W36" s="906"/>
      <c r="X36" s="906"/>
      <c r="Y36" s="906"/>
      <c r="Z36" s="906"/>
      <c r="AA36" s="906"/>
      <c r="AB36" s="906"/>
      <c r="AC36" s="906"/>
      <c r="AD36" s="906"/>
      <c r="AE36" s="907"/>
      <c r="AF36" s="339"/>
    </row>
    <row r="37" spans="1:32" s="356" customFormat="1">
      <c r="A37" s="339"/>
      <c r="B37" s="908"/>
      <c r="C37" s="909"/>
      <c r="D37" s="909"/>
      <c r="E37" s="909"/>
      <c r="F37" s="909"/>
      <c r="G37" s="909"/>
      <c r="H37" s="909"/>
      <c r="I37" s="909"/>
      <c r="J37" s="909"/>
      <c r="K37" s="909"/>
      <c r="L37" s="909"/>
      <c r="M37" s="909"/>
      <c r="N37" s="909"/>
      <c r="O37" s="909"/>
      <c r="P37" s="909"/>
      <c r="Q37" s="909"/>
      <c r="R37" s="909"/>
      <c r="S37" s="909"/>
      <c r="T37" s="909"/>
      <c r="U37" s="909"/>
      <c r="V37" s="909"/>
      <c r="W37" s="909"/>
      <c r="X37" s="909"/>
      <c r="Y37" s="909"/>
      <c r="Z37" s="909"/>
      <c r="AA37" s="909"/>
      <c r="AB37" s="909"/>
      <c r="AC37" s="909"/>
      <c r="AD37" s="909"/>
      <c r="AE37" s="910"/>
      <c r="AF37" s="339"/>
    </row>
    <row r="38" spans="1:32" s="356" customFormat="1" ht="12.75" thickBot="1">
      <c r="A38" s="339"/>
      <c r="B38" s="911"/>
      <c r="C38" s="912"/>
      <c r="D38" s="912"/>
      <c r="E38" s="912"/>
      <c r="F38" s="912"/>
      <c r="G38" s="912"/>
      <c r="H38" s="912"/>
      <c r="I38" s="912"/>
      <c r="J38" s="912"/>
      <c r="K38" s="912"/>
      <c r="L38" s="912"/>
      <c r="M38" s="912"/>
      <c r="N38" s="912"/>
      <c r="O38" s="912"/>
      <c r="P38" s="912"/>
      <c r="Q38" s="912"/>
      <c r="R38" s="912"/>
      <c r="S38" s="912"/>
      <c r="T38" s="912"/>
      <c r="U38" s="912"/>
      <c r="V38" s="912"/>
      <c r="W38" s="912"/>
      <c r="X38" s="912"/>
      <c r="Y38" s="912"/>
      <c r="Z38" s="912"/>
      <c r="AA38" s="912"/>
      <c r="AB38" s="912"/>
      <c r="AC38" s="912"/>
      <c r="AD38" s="912"/>
      <c r="AE38" s="913"/>
      <c r="AF38" s="339"/>
    </row>
    <row r="39" spans="1:32" s="356" customFormat="1">
      <c r="A39" s="339"/>
      <c r="B39" s="339"/>
      <c r="C39" s="339"/>
      <c r="D39" s="351"/>
      <c r="E39" s="351"/>
      <c r="F39" s="351"/>
      <c r="G39" s="351"/>
      <c r="H39" s="351"/>
      <c r="I39" s="351"/>
      <c r="J39" s="351"/>
      <c r="K39" s="351"/>
      <c r="L39" s="339"/>
      <c r="M39" s="339"/>
      <c r="N39" s="339"/>
      <c r="O39" s="339"/>
      <c r="P39" s="339"/>
      <c r="Q39" s="339"/>
      <c r="R39" s="339"/>
      <c r="S39" s="339"/>
      <c r="T39" s="339"/>
      <c r="U39" s="339"/>
      <c r="V39" s="339"/>
      <c r="W39" s="339"/>
      <c r="X39" s="339"/>
      <c r="Y39" s="339"/>
      <c r="Z39" s="339"/>
      <c r="AA39" s="339"/>
      <c r="AB39" s="339"/>
      <c r="AC39" s="339"/>
      <c r="AD39" s="339"/>
      <c r="AE39" s="339"/>
      <c r="AF39" s="339"/>
    </row>
    <row r="40" spans="1:32" s="356" customFormat="1">
      <c r="A40" s="339"/>
      <c r="B40" s="339"/>
      <c r="C40" s="339"/>
      <c r="D40" s="351"/>
      <c r="E40" s="351"/>
      <c r="F40" s="351"/>
      <c r="G40" s="351"/>
      <c r="H40" s="351"/>
      <c r="I40" s="351"/>
      <c r="J40" s="351"/>
      <c r="K40" s="351"/>
      <c r="L40" s="339"/>
      <c r="M40" s="339"/>
      <c r="N40" s="339"/>
      <c r="O40" s="339"/>
      <c r="P40" s="339"/>
      <c r="Q40" s="339"/>
      <c r="R40" s="339"/>
      <c r="S40" s="339"/>
      <c r="T40" s="339"/>
      <c r="U40" s="339"/>
      <c r="V40" s="339"/>
      <c r="W40" s="339"/>
      <c r="X40" s="339"/>
      <c r="Y40" s="339"/>
      <c r="Z40" s="339"/>
      <c r="AA40" s="339"/>
      <c r="AB40" s="339"/>
      <c r="AC40" s="339"/>
      <c r="AD40" s="339"/>
      <c r="AE40" s="339"/>
      <c r="AF40" s="339"/>
    </row>
    <row r="41" spans="1:32" s="356" customFormat="1">
      <c r="A41" s="339"/>
      <c r="B41" s="339"/>
      <c r="C41" s="339"/>
      <c r="D41" s="351"/>
      <c r="E41" s="351"/>
      <c r="F41" s="351"/>
      <c r="G41" s="351"/>
      <c r="H41" s="351"/>
      <c r="I41" s="351"/>
      <c r="J41" s="351"/>
      <c r="K41" s="351"/>
      <c r="L41" s="339"/>
      <c r="M41" s="339"/>
      <c r="N41" s="339"/>
      <c r="O41" s="339"/>
      <c r="P41" s="339"/>
      <c r="Q41" s="339"/>
      <c r="R41" s="339"/>
      <c r="S41" s="339"/>
      <c r="T41" s="339"/>
      <c r="U41" s="339"/>
      <c r="V41" s="339"/>
      <c r="W41" s="339"/>
      <c r="X41" s="339"/>
      <c r="Y41" s="339"/>
      <c r="Z41" s="339"/>
      <c r="AA41" s="339"/>
      <c r="AB41" s="339"/>
      <c r="AC41" s="339"/>
      <c r="AD41" s="339"/>
      <c r="AE41" s="339"/>
      <c r="AF41" s="339"/>
    </row>
    <row r="42" spans="1:32" s="356" customFormat="1">
      <c r="A42" s="339"/>
      <c r="B42" s="339"/>
      <c r="C42" s="339"/>
      <c r="D42" s="351"/>
      <c r="E42" s="351"/>
      <c r="F42" s="351"/>
      <c r="G42" s="351"/>
      <c r="H42" s="351"/>
      <c r="I42" s="351"/>
      <c r="J42" s="351"/>
      <c r="K42" s="351"/>
      <c r="L42" s="339"/>
      <c r="M42" s="339"/>
      <c r="N42" s="339"/>
      <c r="O42" s="339"/>
      <c r="P42" s="339"/>
      <c r="Q42" s="339"/>
      <c r="R42" s="339"/>
      <c r="S42" s="339"/>
      <c r="T42" s="339"/>
      <c r="U42" s="339"/>
      <c r="V42" s="339"/>
      <c r="W42" s="339"/>
      <c r="X42" s="339"/>
      <c r="Y42" s="339"/>
      <c r="Z42" s="339"/>
      <c r="AA42" s="339"/>
      <c r="AB42" s="339"/>
      <c r="AC42" s="339"/>
      <c r="AD42" s="339"/>
      <c r="AE42" s="339"/>
      <c r="AF42" s="339"/>
    </row>
    <row r="43" spans="1:32" s="356" customFormat="1">
      <c r="A43" s="339"/>
      <c r="B43" s="339"/>
      <c r="C43" s="339"/>
      <c r="D43" s="351"/>
      <c r="E43" s="351"/>
      <c r="F43" s="351"/>
      <c r="G43" s="351"/>
      <c r="H43" s="351"/>
      <c r="I43" s="351"/>
      <c r="J43" s="351"/>
      <c r="K43" s="351"/>
      <c r="L43" s="339"/>
      <c r="M43" s="339"/>
      <c r="N43" s="339"/>
      <c r="O43" s="339"/>
      <c r="P43" s="339"/>
      <c r="Q43" s="339"/>
      <c r="R43" s="339"/>
      <c r="S43" s="339"/>
      <c r="T43" s="339"/>
      <c r="U43" s="339"/>
      <c r="V43" s="339"/>
      <c r="W43" s="339"/>
      <c r="X43" s="339"/>
      <c r="Y43" s="339"/>
      <c r="Z43" s="339"/>
      <c r="AA43" s="339"/>
      <c r="AB43" s="339"/>
      <c r="AC43" s="339"/>
      <c r="AD43" s="339"/>
      <c r="AE43" s="339"/>
      <c r="AF43" s="339"/>
    </row>
    <row r="44" spans="1:32" s="356" customFormat="1">
      <c r="A44" s="339"/>
      <c r="B44" s="339"/>
      <c r="C44" s="339"/>
      <c r="D44" s="351"/>
      <c r="E44" s="351"/>
      <c r="F44" s="351"/>
      <c r="G44" s="351"/>
      <c r="H44" s="351"/>
      <c r="I44" s="351"/>
      <c r="J44" s="351"/>
      <c r="K44" s="351"/>
      <c r="L44" s="339"/>
      <c r="M44" s="339"/>
      <c r="N44" s="339"/>
      <c r="O44" s="339"/>
      <c r="P44" s="339"/>
      <c r="Q44" s="339"/>
      <c r="R44" s="339"/>
      <c r="S44" s="339"/>
      <c r="T44" s="339"/>
      <c r="U44" s="339"/>
      <c r="V44" s="339"/>
      <c r="W44" s="339"/>
      <c r="X44" s="339"/>
      <c r="Y44" s="339"/>
      <c r="Z44" s="339"/>
      <c r="AA44" s="339"/>
      <c r="AB44" s="339"/>
      <c r="AC44" s="339"/>
      <c r="AD44" s="339"/>
      <c r="AE44" s="339"/>
      <c r="AF44" s="339"/>
    </row>
    <row r="45" spans="1:32" s="356" customFormat="1">
      <c r="A45" s="339"/>
      <c r="B45" s="339"/>
      <c r="C45" s="339"/>
      <c r="D45" s="351"/>
      <c r="E45" s="351"/>
      <c r="F45" s="351"/>
      <c r="G45" s="351"/>
      <c r="H45" s="351"/>
      <c r="I45" s="351"/>
      <c r="J45" s="351"/>
      <c r="K45" s="351"/>
      <c r="L45" s="339"/>
      <c r="M45" s="339"/>
      <c r="N45" s="339"/>
      <c r="O45" s="339"/>
      <c r="P45" s="339"/>
      <c r="Q45" s="339"/>
      <c r="R45" s="339"/>
      <c r="S45" s="339"/>
      <c r="T45" s="339"/>
      <c r="U45" s="339"/>
      <c r="V45" s="339"/>
      <c r="W45" s="339"/>
      <c r="X45" s="339"/>
      <c r="Y45" s="339"/>
      <c r="Z45" s="339"/>
      <c r="AA45" s="339"/>
      <c r="AB45" s="339"/>
      <c r="AC45" s="339"/>
      <c r="AD45" s="339"/>
      <c r="AE45" s="339"/>
      <c r="AF45" s="339"/>
    </row>
    <row r="46" spans="1:32" s="356" customFormat="1">
      <c r="A46" s="339"/>
      <c r="B46" s="339"/>
      <c r="C46" s="339"/>
      <c r="D46" s="351"/>
      <c r="E46" s="351"/>
      <c r="F46" s="351"/>
      <c r="G46" s="351"/>
      <c r="H46" s="351"/>
      <c r="I46" s="351"/>
      <c r="J46" s="351"/>
      <c r="K46" s="351"/>
      <c r="L46" s="339"/>
      <c r="M46" s="339"/>
      <c r="N46" s="339"/>
      <c r="O46" s="339"/>
      <c r="P46" s="339"/>
      <c r="Q46" s="339"/>
      <c r="R46" s="339"/>
      <c r="S46" s="339"/>
      <c r="T46" s="339"/>
      <c r="U46" s="339"/>
      <c r="V46" s="339"/>
      <c r="W46" s="339"/>
      <c r="X46" s="339"/>
      <c r="Y46" s="339"/>
      <c r="Z46" s="339"/>
      <c r="AA46" s="339"/>
      <c r="AB46" s="339"/>
      <c r="AC46" s="339"/>
      <c r="AD46" s="339"/>
      <c r="AE46" s="339"/>
      <c r="AF46" s="339"/>
    </row>
    <row r="47" spans="1:32" s="356" customFormat="1">
      <c r="A47" s="339"/>
      <c r="B47" s="339"/>
      <c r="C47" s="339"/>
      <c r="D47" s="351"/>
      <c r="E47" s="351"/>
      <c r="F47" s="351"/>
      <c r="G47" s="351"/>
      <c r="H47" s="351"/>
      <c r="I47" s="351"/>
      <c r="J47" s="351"/>
      <c r="K47" s="351"/>
      <c r="L47" s="339"/>
      <c r="M47" s="339"/>
      <c r="N47" s="339"/>
      <c r="O47" s="339"/>
      <c r="P47" s="339"/>
      <c r="Q47" s="339"/>
      <c r="R47" s="339"/>
      <c r="S47" s="339"/>
      <c r="T47" s="339"/>
      <c r="U47" s="339"/>
      <c r="V47" s="339"/>
      <c r="W47" s="339"/>
      <c r="X47" s="339"/>
      <c r="Y47" s="339"/>
      <c r="Z47" s="339"/>
      <c r="AA47" s="339"/>
      <c r="AB47" s="339"/>
      <c r="AC47" s="339"/>
      <c r="AD47" s="339"/>
      <c r="AE47" s="339"/>
      <c r="AF47" s="339"/>
    </row>
    <row r="48" spans="1:32" s="356" customFormat="1">
      <c r="A48" s="339"/>
      <c r="B48" s="339"/>
      <c r="C48" s="339"/>
      <c r="D48" s="351"/>
      <c r="E48" s="351"/>
      <c r="F48" s="351"/>
      <c r="G48" s="351"/>
      <c r="H48" s="351"/>
      <c r="I48" s="351"/>
      <c r="J48" s="351"/>
      <c r="K48" s="351"/>
      <c r="L48" s="339"/>
      <c r="M48" s="339"/>
      <c r="N48" s="339"/>
      <c r="O48" s="339"/>
      <c r="P48" s="339"/>
      <c r="Q48" s="339"/>
      <c r="R48" s="339"/>
      <c r="S48" s="339"/>
      <c r="T48" s="339"/>
      <c r="U48" s="339"/>
      <c r="V48" s="339"/>
      <c r="W48" s="339"/>
      <c r="X48" s="339"/>
      <c r="Y48" s="339"/>
      <c r="Z48" s="339"/>
      <c r="AA48" s="339"/>
      <c r="AB48" s="339"/>
      <c r="AC48" s="339"/>
      <c r="AD48" s="339"/>
      <c r="AE48" s="339"/>
      <c r="AF48" s="339"/>
    </row>
    <row r="49" spans="1:32" s="356" customFormat="1">
      <c r="A49" s="339"/>
      <c r="B49" s="339"/>
      <c r="C49" s="339"/>
      <c r="D49" s="351"/>
      <c r="E49" s="351"/>
      <c r="F49" s="351"/>
      <c r="G49" s="351"/>
      <c r="H49" s="351"/>
      <c r="I49" s="351"/>
      <c r="J49" s="351"/>
      <c r="K49" s="351"/>
      <c r="L49" s="339"/>
      <c r="M49" s="339"/>
      <c r="N49" s="339"/>
      <c r="O49" s="339"/>
      <c r="P49" s="339"/>
      <c r="Q49" s="339"/>
      <c r="R49" s="339"/>
      <c r="S49" s="339"/>
      <c r="T49" s="339"/>
      <c r="U49" s="339"/>
      <c r="V49" s="339"/>
      <c r="W49" s="339"/>
      <c r="X49" s="339"/>
      <c r="Y49" s="339"/>
      <c r="Z49" s="339"/>
      <c r="AA49" s="339"/>
      <c r="AB49" s="339"/>
      <c r="AC49" s="339"/>
      <c r="AD49" s="339"/>
      <c r="AE49" s="339"/>
      <c r="AF49" s="339"/>
    </row>
    <row r="50" spans="1:32">
      <c r="A50" s="338"/>
      <c r="B50" s="338"/>
      <c r="C50" s="338"/>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8"/>
      <c r="AD50" s="338" t="s">
        <v>330</v>
      </c>
      <c r="AE50" s="338"/>
      <c r="AF50" s="338"/>
    </row>
    <row r="51" spans="1:32" ht="12.75" thickBot="1">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c r="AF51" s="338"/>
    </row>
    <row r="52" spans="1:32" ht="12.75" thickTop="1">
      <c r="A52" s="338"/>
      <c r="B52" s="338"/>
      <c r="C52" s="338"/>
      <c r="D52" s="338"/>
      <c r="E52" s="338"/>
      <c r="F52" s="338"/>
      <c r="G52" s="338"/>
      <c r="H52" s="338"/>
      <c r="I52" s="338"/>
      <c r="J52" s="338"/>
      <c r="K52" s="338"/>
      <c r="L52" s="338"/>
      <c r="M52" s="338"/>
      <c r="N52" s="338"/>
      <c r="O52" s="338"/>
      <c r="P52" s="338"/>
      <c r="Q52" s="338"/>
      <c r="R52" s="338"/>
      <c r="S52" s="338"/>
      <c r="T52" s="338"/>
      <c r="U52" s="338"/>
      <c r="V52" s="338"/>
      <c r="W52" s="338"/>
      <c r="X52" s="338"/>
      <c r="Y52" s="338"/>
      <c r="Z52" s="338"/>
      <c r="AA52" s="338"/>
      <c r="AB52" s="338"/>
      <c r="AC52" s="338"/>
      <c r="AD52" s="338"/>
      <c r="AE52" s="338"/>
      <c r="AF52" s="338"/>
    </row>
    <row r="53" spans="1:32">
      <c r="A53" s="338"/>
      <c r="B53" s="338"/>
      <c r="C53" s="338"/>
      <c r="D53" s="338"/>
      <c r="E53" s="338"/>
      <c r="F53" s="338"/>
      <c r="G53" s="338"/>
      <c r="H53" s="338"/>
      <c r="I53" s="338"/>
      <c r="J53" s="338"/>
      <c r="K53" s="338"/>
      <c r="L53" s="338"/>
      <c r="M53" s="338"/>
      <c r="N53" s="338"/>
      <c r="O53" s="338"/>
      <c r="P53" s="338"/>
      <c r="Q53" s="338"/>
      <c r="R53" s="338"/>
      <c r="S53" s="338"/>
      <c r="T53" s="338"/>
      <c r="U53" s="338"/>
      <c r="V53" s="338"/>
      <c r="W53" s="338"/>
      <c r="X53" s="338"/>
      <c r="Y53" s="338"/>
      <c r="Z53" s="338"/>
      <c r="AA53" s="338"/>
      <c r="AB53" s="338"/>
      <c r="AC53" s="338"/>
      <c r="AD53" s="338"/>
      <c r="AE53" s="338"/>
      <c r="AF53" s="338"/>
    </row>
    <row r="54" spans="1:32" s="356" customFormat="1">
      <c r="A54" s="339"/>
      <c r="B54" s="342" t="s">
        <v>331</v>
      </c>
      <c r="C54" s="340"/>
      <c r="D54" s="340"/>
      <c r="E54" s="340"/>
      <c r="F54" s="340"/>
      <c r="G54" s="340"/>
      <c r="H54" s="340"/>
      <c r="I54" s="340"/>
      <c r="J54" s="340"/>
      <c r="K54" s="340"/>
      <c r="L54" s="340"/>
      <c r="M54" s="340"/>
      <c r="N54" s="340"/>
      <c r="O54" s="340"/>
      <c r="P54" s="340"/>
      <c r="Q54" s="340"/>
      <c r="R54" s="340"/>
      <c r="S54" s="340"/>
      <c r="T54" s="340"/>
      <c r="U54" s="340"/>
      <c r="V54" s="340"/>
      <c r="W54" s="340"/>
      <c r="X54" s="340"/>
      <c r="Y54" s="340"/>
      <c r="Z54" s="340"/>
      <c r="AA54" s="340"/>
      <c r="AB54" s="340"/>
      <c r="AC54" s="340"/>
      <c r="AD54" s="340"/>
      <c r="AE54" s="340"/>
      <c r="AF54" s="340"/>
    </row>
    <row r="55" spans="1:32" s="356" customFormat="1">
      <c r="A55" s="342"/>
      <c r="B55" s="339"/>
      <c r="C55" s="339"/>
      <c r="D55" s="339"/>
      <c r="E55" s="339"/>
      <c r="F55" s="339"/>
      <c r="G55" s="342"/>
      <c r="H55" s="342"/>
      <c r="I55" s="342"/>
      <c r="J55" s="342"/>
      <c r="K55" s="342"/>
      <c r="L55" s="342"/>
      <c r="M55" s="342"/>
      <c r="N55" s="342"/>
      <c r="O55" s="342"/>
      <c r="P55" s="342"/>
      <c r="Q55" s="342"/>
      <c r="R55" s="342"/>
      <c r="S55" s="342"/>
      <c r="T55" s="342"/>
      <c r="U55" s="342"/>
      <c r="V55" s="342"/>
      <c r="W55" s="342"/>
      <c r="X55" s="342"/>
      <c r="Y55" s="342"/>
      <c r="Z55" s="342"/>
      <c r="AA55" s="342"/>
      <c r="AB55" s="342"/>
      <c r="AC55" s="342"/>
      <c r="AD55" s="342"/>
      <c r="AE55" s="342"/>
      <c r="AF55" s="342"/>
    </row>
    <row r="56" spans="1:32" s="356" customFormat="1">
      <c r="A56" s="342"/>
      <c r="B56" s="342" t="s">
        <v>332</v>
      </c>
      <c r="C56" s="339"/>
      <c r="D56" s="339"/>
      <c r="E56" s="339"/>
      <c r="F56" s="339"/>
      <c r="G56" s="343"/>
      <c r="H56" s="343"/>
      <c r="I56" s="343"/>
      <c r="J56" s="343"/>
      <c r="K56" s="343"/>
      <c r="L56" s="343"/>
      <c r="M56" s="343"/>
      <c r="N56" s="343"/>
      <c r="O56" s="343"/>
      <c r="P56" s="343"/>
      <c r="Q56" s="343"/>
      <c r="R56" s="343"/>
      <c r="S56" s="343"/>
      <c r="T56" s="343"/>
      <c r="U56" s="343"/>
      <c r="V56" s="343"/>
      <c r="W56" s="343"/>
      <c r="X56" s="343"/>
      <c r="Y56" s="343"/>
      <c r="Z56" s="343"/>
      <c r="AA56" s="343"/>
      <c r="AB56" s="343"/>
      <c r="AC56" s="343"/>
      <c r="AD56" s="343"/>
      <c r="AE56" s="343"/>
      <c r="AF56" s="343"/>
    </row>
    <row r="57" spans="1:32" s="356" customFormat="1">
      <c r="A57" s="339"/>
      <c r="B57" s="339"/>
      <c r="C57" s="342"/>
      <c r="D57" s="342"/>
      <c r="E57" s="342"/>
      <c r="F57" s="342"/>
      <c r="G57" s="339"/>
      <c r="H57" s="339"/>
      <c r="I57" s="339"/>
      <c r="J57" s="339"/>
      <c r="K57" s="339"/>
      <c r="L57" s="339"/>
      <c r="M57" s="339"/>
      <c r="N57" s="339"/>
      <c r="O57" s="339"/>
      <c r="P57" s="339"/>
      <c r="Q57" s="339"/>
      <c r="R57" s="339"/>
      <c r="S57" s="339"/>
      <c r="T57" s="339"/>
      <c r="U57" s="339"/>
      <c r="V57" s="339"/>
      <c r="W57" s="339"/>
      <c r="X57" s="339"/>
      <c r="Y57" s="339"/>
      <c r="Z57" s="339"/>
      <c r="AA57" s="339"/>
      <c r="AB57" s="339"/>
      <c r="AC57" s="339"/>
      <c r="AD57" s="339"/>
      <c r="AE57" s="339"/>
      <c r="AF57" s="339"/>
    </row>
    <row r="58" spans="1:32" s="356" customFormat="1" ht="20.25" customHeight="1">
      <c r="A58" s="339"/>
      <c r="B58" s="343"/>
      <c r="C58" s="339" t="s">
        <v>333</v>
      </c>
      <c r="D58" s="343"/>
      <c r="E58" s="343"/>
      <c r="F58" s="343"/>
      <c r="G58" s="339"/>
      <c r="H58" s="339"/>
      <c r="I58" s="339"/>
      <c r="J58" s="339"/>
      <c r="K58" s="339"/>
      <c r="L58" s="339"/>
      <c r="M58" s="339"/>
      <c r="N58" s="339"/>
      <c r="O58" s="339"/>
      <c r="P58" s="339"/>
      <c r="Q58" s="339"/>
      <c r="R58" s="339"/>
      <c r="S58" s="339"/>
      <c r="T58" s="339"/>
      <c r="U58" s="339"/>
      <c r="V58" s="339"/>
      <c r="W58" s="339"/>
      <c r="X58" s="339"/>
      <c r="Y58" s="339"/>
      <c r="Z58" s="339"/>
      <c r="AA58" s="339"/>
      <c r="AB58" s="339"/>
      <c r="AC58" s="339"/>
      <c r="AD58" s="339"/>
      <c r="AE58" s="339"/>
      <c r="AF58" s="339"/>
    </row>
    <row r="59" spans="1:32" s="356" customFormat="1" ht="20.25" customHeight="1">
      <c r="A59" s="339"/>
      <c r="B59" s="339"/>
      <c r="C59" s="339" t="s">
        <v>334</v>
      </c>
      <c r="D59" s="339"/>
      <c r="E59" s="339"/>
      <c r="F59" s="339"/>
      <c r="G59" s="339"/>
      <c r="H59" s="339"/>
      <c r="I59" s="339"/>
      <c r="J59" s="339"/>
      <c r="K59" s="339"/>
      <c r="L59" s="339"/>
      <c r="M59" s="339"/>
      <c r="N59" s="339"/>
      <c r="O59" s="339"/>
      <c r="P59" s="339"/>
      <c r="Q59" s="339"/>
      <c r="R59" s="339"/>
      <c r="S59" s="339"/>
      <c r="T59" s="339"/>
      <c r="U59" s="339"/>
      <c r="V59" s="339"/>
      <c r="W59" s="339"/>
      <c r="X59" s="339"/>
      <c r="Y59" s="339"/>
      <c r="Z59" s="339"/>
      <c r="AA59" s="339"/>
      <c r="AB59" s="339"/>
      <c r="AC59" s="339"/>
      <c r="AD59" s="339"/>
      <c r="AE59" s="339"/>
      <c r="AF59" s="339"/>
    </row>
    <row r="60" spans="1:32" s="356" customFormat="1" ht="20.25" customHeight="1">
      <c r="A60" s="339"/>
      <c r="B60" s="339"/>
      <c r="C60" s="339" t="s">
        <v>335</v>
      </c>
      <c r="D60" s="339"/>
      <c r="E60" s="339"/>
      <c r="F60" s="339"/>
      <c r="G60" s="339"/>
      <c r="H60" s="339"/>
      <c r="I60" s="339"/>
      <c r="J60" s="339"/>
      <c r="K60" s="339"/>
      <c r="L60" s="339"/>
      <c r="M60" s="339"/>
      <c r="N60" s="339"/>
      <c r="O60" s="339"/>
      <c r="P60" s="339"/>
      <c r="Q60" s="339"/>
      <c r="R60" s="339"/>
      <c r="S60" s="339"/>
      <c r="T60" s="339"/>
      <c r="U60" s="339"/>
      <c r="V60" s="339"/>
      <c r="W60" s="339"/>
      <c r="X60" s="339"/>
      <c r="Y60" s="339"/>
      <c r="Z60" s="339"/>
      <c r="AA60" s="339"/>
      <c r="AB60" s="339"/>
      <c r="AC60" s="339"/>
      <c r="AD60" s="339"/>
      <c r="AE60" s="339"/>
      <c r="AF60" s="339"/>
    </row>
    <row r="61" spans="1:32" s="356" customFormat="1">
      <c r="A61" s="339"/>
      <c r="B61" s="339"/>
      <c r="C61" s="339"/>
      <c r="D61" s="351"/>
      <c r="E61" s="351"/>
      <c r="F61" s="351"/>
      <c r="G61" s="351"/>
      <c r="H61" s="351"/>
      <c r="I61" s="351"/>
      <c r="J61" s="351"/>
      <c r="K61" s="339"/>
      <c r="L61" s="339"/>
      <c r="M61" s="339"/>
      <c r="N61" s="339"/>
      <c r="O61" s="339"/>
      <c r="P61" s="339"/>
      <c r="Q61" s="339"/>
      <c r="R61" s="339"/>
      <c r="S61" s="339"/>
      <c r="T61" s="339"/>
      <c r="U61" s="339"/>
      <c r="V61" s="339"/>
      <c r="W61" s="339"/>
      <c r="X61" s="339"/>
      <c r="Y61" s="339"/>
      <c r="Z61" s="339"/>
      <c r="AA61" s="339"/>
      <c r="AB61" s="339"/>
      <c r="AC61" s="339"/>
      <c r="AD61" s="339"/>
      <c r="AE61" s="339"/>
      <c r="AF61" s="339"/>
    </row>
    <row r="62" spans="1:32" s="356" customFormat="1">
      <c r="A62" s="339"/>
      <c r="B62" s="351"/>
      <c r="C62" s="351"/>
      <c r="D62" s="339"/>
      <c r="E62" s="351"/>
      <c r="F62" s="351"/>
      <c r="G62" s="351"/>
      <c r="H62" s="351"/>
      <c r="I62" s="351"/>
      <c r="J62" s="351"/>
      <c r="K62" s="339"/>
      <c r="L62" s="339"/>
      <c r="M62" s="339"/>
      <c r="N62" s="339"/>
      <c r="O62" s="339"/>
      <c r="P62" s="339"/>
      <c r="Q62" s="339"/>
      <c r="R62" s="339"/>
      <c r="S62" s="339"/>
      <c r="T62" s="339"/>
      <c r="U62" s="339"/>
      <c r="V62" s="339"/>
      <c r="W62" s="339"/>
      <c r="X62" s="339"/>
      <c r="Y62" s="339"/>
      <c r="Z62" s="339"/>
      <c r="AA62" s="339"/>
      <c r="AB62" s="339"/>
      <c r="AC62" s="339"/>
      <c r="AD62" s="339"/>
      <c r="AE62" s="339"/>
      <c r="AF62" s="339"/>
    </row>
    <row r="63" spans="1:32">
      <c r="A63" s="338"/>
      <c r="B63" s="338"/>
      <c r="C63" s="338"/>
      <c r="D63" s="338"/>
      <c r="E63" s="338"/>
      <c r="F63" s="338"/>
      <c r="G63" s="338"/>
      <c r="H63" s="338"/>
      <c r="I63" s="338"/>
      <c r="J63" s="338"/>
      <c r="K63" s="338"/>
      <c r="L63" s="338"/>
      <c r="M63" s="338"/>
      <c r="N63" s="338"/>
      <c r="O63" s="338"/>
      <c r="P63" s="338"/>
      <c r="Q63" s="338"/>
      <c r="R63" s="338"/>
      <c r="S63" s="338"/>
      <c r="T63" s="338"/>
      <c r="U63" s="338"/>
      <c r="V63" s="338"/>
      <c r="W63" s="338"/>
      <c r="X63" s="338"/>
      <c r="Y63" s="338"/>
      <c r="Z63" s="338"/>
      <c r="AA63" s="338"/>
      <c r="AB63" s="338"/>
      <c r="AC63" s="338"/>
      <c r="AD63" s="338"/>
      <c r="AE63" s="338"/>
      <c r="AF63" s="338"/>
    </row>
    <row r="64" spans="1:32">
      <c r="A64" s="338"/>
      <c r="B64" s="338"/>
      <c r="C64" s="338"/>
      <c r="D64" s="338"/>
      <c r="E64" s="338"/>
      <c r="F64" s="338"/>
      <c r="G64" s="338"/>
      <c r="H64" s="338"/>
      <c r="I64" s="338"/>
      <c r="J64" s="338"/>
      <c r="K64" s="338"/>
      <c r="L64" s="338"/>
      <c r="M64" s="338"/>
      <c r="N64" s="338"/>
      <c r="O64" s="338"/>
      <c r="P64" s="338"/>
      <c r="Q64" s="338"/>
      <c r="R64" s="338"/>
      <c r="S64" s="338"/>
      <c r="T64" s="338"/>
      <c r="U64" s="338"/>
      <c r="V64" s="338"/>
      <c r="W64" s="338"/>
      <c r="X64" s="338"/>
      <c r="Y64" s="338"/>
      <c r="Z64" s="338"/>
      <c r="AA64" s="338"/>
      <c r="AB64" s="338"/>
      <c r="AC64" s="338"/>
      <c r="AD64" s="338"/>
      <c r="AE64" s="338"/>
      <c r="AF64" s="338"/>
    </row>
    <row r="65" spans="1:32">
      <c r="A65" s="338"/>
      <c r="B65" s="338"/>
      <c r="C65" s="338"/>
      <c r="D65" s="338"/>
      <c r="E65" s="338"/>
      <c r="F65" s="338"/>
      <c r="G65" s="338"/>
      <c r="H65" s="338"/>
      <c r="I65" s="338"/>
      <c r="J65" s="338"/>
      <c r="K65" s="338"/>
      <c r="L65" s="338"/>
      <c r="M65" s="338"/>
      <c r="N65" s="338"/>
      <c r="O65" s="338"/>
      <c r="P65" s="338"/>
      <c r="Q65" s="338"/>
      <c r="R65" s="338"/>
      <c r="S65" s="338"/>
      <c r="T65" s="338"/>
      <c r="U65" s="338"/>
      <c r="V65" s="338"/>
      <c r="W65" s="338"/>
      <c r="X65" s="338"/>
      <c r="Y65" s="338"/>
      <c r="Z65" s="338"/>
      <c r="AA65" s="338"/>
      <c r="AB65" s="338"/>
      <c r="AC65" s="338"/>
      <c r="AD65" s="338"/>
      <c r="AE65" s="338"/>
      <c r="AF65" s="338"/>
    </row>
    <row r="66" spans="1:32">
      <c r="A66" s="338"/>
      <c r="B66" s="338"/>
      <c r="C66" s="338"/>
      <c r="D66" s="338"/>
      <c r="E66" s="338"/>
      <c r="F66" s="338"/>
      <c r="G66" s="338"/>
      <c r="H66" s="338"/>
      <c r="I66" s="338"/>
      <c r="J66" s="338"/>
      <c r="K66" s="338"/>
      <c r="L66" s="338"/>
      <c r="M66" s="338"/>
      <c r="N66" s="338"/>
      <c r="O66" s="338"/>
      <c r="P66" s="338"/>
      <c r="Q66" s="338"/>
      <c r="R66" s="338"/>
      <c r="S66" s="338"/>
      <c r="T66" s="338"/>
      <c r="U66" s="338"/>
      <c r="V66" s="338"/>
      <c r="W66" s="338"/>
      <c r="X66" s="338"/>
      <c r="Y66" s="338"/>
      <c r="Z66" s="338"/>
      <c r="AA66" s="338"/>
      <c r="AB66" s="338"/>
      <c r="AC66" s="338"/>
      <c r="AD66" s="338"/>
      <c r="AE66" s="338"/>
      <c r="AF66" s="338"/>
    </row>
    <row r="67" spans="1:32">
      <c r="A67" s="338"/>
      <c r="B67" s="338"/>
      <c r="C67" s="338"/>
      <c r="D67" s="338"/>
      <c r="E67" s="338"/>
      <c r="F67" s="338"/>
      <c r="G67" s="338"/>
      <c r="H67" s="338"/>
      <c r="I67" s="338"/>
      <c r="J67" s="338"/>
      <c r="K67" s="338"/>
      <c r="L67" s="338"/>
      <c r="M67" s="338"/>
      <c r="N67" s="338"/>
      <c r="O67" s="338"/>
      <c r="P67" s="338"/>
      <c r="Q67" s="338"/>
      <c r="R67" s="338"/>
      <c r="S67" s="338"/>
      <c r="T67" s="338"/>
      <c r="U67" s="338"/>
      <c r="V67" s="338"/>
      <c r="W67" s="338"/>
      <c r="X67" s="338"/>
      <c r="Y67" s="338"/>
      <c r="Z67" s="338"/>
      <c r="AA67" s="338"/>
      <c r="AB67" s="338"/>
      <c r="AC67" s="338"/>
      <c r="AD67" s="338"/>
      <c r="AE67" s="338"/>
      <c r="AF67" s="338"/>
    </row>
    <row r="68" spans="1:32">
      <c r="A68" s="338"/>
      <c r="B68" s="338"/>
      <c r="C68" s="338"/>
      <c r="D68" s="338"/>
      <c r="E68" s="338"/>
      <c r="F68" s="338"/>
      <c r="G68" s="338"/>
      <c r="H68" s="338"/>
      <c r="I68" s="338"/>
      <c r="J68" s="338"/>
      <c r="K68" s="338"/>
      <c r="L68" s="338"/>
      <c r="M68" s="338"/>
      <c r="N68" s="338"/>
      <c r="O68" s="338"/>
      <c r="P68" s="338"/>
      <c r="Q68" s="338"/>
      <c r="R68" s="338"/>
      <c r="S68" s="338"/>
      <c r="T68" s="338"/>
      <c r="U68" s="338"/>
      <c r="V68" s="338"/>
      <c r="W68" s="338"/>
      <c r="X68" s="338"/>
      <c r="Y68" s="338"/>
      <c r="Z68" s="338"/>
      <c r="AA68" s="338"/>
      <c r="AB68" s="338"/>
      <c r="AC68" s="338"/>
      <c r="AD68" s="338"/>
      <c r="AE68" s="338"/>
      <c r="AF68" s="338"/>
    </row>
    <row r="69" spans="1:32">
      <c r="A69" s="338"/>
      <c r="B69" s="338"/>
      <c r="C69" s="338"/>
      <c r="D69" s="338"/>
      <c r="E69" s="338"/>
      <c r="F69" s="338"/>
      <c r="G69" s="338"/>
      <c r="H69" s="338"/>
      <c r="I69" s="338"/>
      <c r="J69" s="338"/>
      <c r="K69" s="338"/>
      <c r="L69" s="338"/>
      <c r="M69" s="338"/>
      <c r="N69" s="338"/>
      <c r="O69" s="338"/>
      <c r="P69" s="338"/>
      <c r="Q69" s="338"/>
      <c r="R69" s="338"/>
      <c r="S69" s="338"/>
      <c r="T69" s="338"/>
      <c r="U69" s="338"/>
      <c r="V69" s="338"/>
      <c r="W69" s="338"/>
      <c r="X69" s="338"/>
      <c r="Y69" s="338"/>
      <c r="Z69" s="338"/>
      <c r="AA69" s="338"/>
      <c r="AB69" s="338"/>
      <c r="AC69" s="338"/>
      <c r="AD69" s="338"/>
      <c r="AE69" s="338"/>
      <c r="AF69" s="338"/>
    </row>
  </sheetData>
  <mergeCells count="24">
    <mergeCell ref="W1:Y1"/>
    <mergeCell ref="Z1:AB1"/>
    <mergeCell ref="AC1:AE1"/>
    <mergeCell ref="W2:Y4"/>
    <mergeCell ref="Z2:AB4"/>
    <mergeCell ref="AC2:AE4"/>
    <mergeCell ref="A7:AF7"/>
    <mergeCell ref="A15:AF15"/>
    <mergeCell ref="A13:AF13"/>
    <mergeCell ref="A10:AF10"/>
    <mergeCell ref="B27:E29"/>
    <mergeCell ref="F27:AE29"/>
    <mergeCell ref="B21:G24"/>
    <mergeCell ref="B18:G20"/>
    <mergeCell ref="H18:AE20"/>
    <mergeCell ref="H21:J24"/>
    <mergeCell ref="K21:R24"/>
    <mergeCell ref="S21:U24"/>
    <mergeCell ref="V21:AE24"/>
    <mergeCell ref="B36:AE38"/>
    <mergeCell ref="B30:E32"/>
    <mergeCell ref="Q30:S32"/>
    <mergeCell ref="F30:P32"/>
    <mergeCell ref="T30:AE32"/>
  </mergeCells>
  <phoneticPr fontId="4"/>
  <printOptions horizontalCentered="1"/>
  <pageMargins left="0.23622047244094491" right="0.23622047244094491" top="0.15748031496062992" bottom="0" header="0.31496062992125984" footer="0.31496062992125984"/>
  <pageSetup paperSize="9"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9943" r:id="rId4" name="Option Button 7">
              <controlPr defaultSize="0" autoFill="0" autoLine="0" autoPict="0">
                <anchor moveWithCells="1">
                  <from>
                    <xdr:col>1</xdr:col>
                    <xdr:colOff>0</xdr:colOff>
                    <xdr:row>56</xdr:row>
                    <xdr:rowOff>152400</xdr:rowOff>
                  </from>
                  <to>
                    <xdr:col>2</xdr:col>
                    <xdr:colOff>38100</xdr:colOff>
                    <xdr:row>57</xdr:row>
                    <xdr:rowOff>209550</xdr:rowOff>
                  </to>
                </anchor>
              </controlPr>
            </control>
          </mc:Choice>
        </mc:AlternateContent>
        <mc:AlternateContent xmlns:mc="http://schemas.openxmlformats.org/markup-compatibility/2006">
          <mc:Choice Requires="x14">
            <control shapeId="39944" r:id="rId5" name="Option Button 8">
              <controlPr defaultSize="0" autoFill="0" autoLine="0" autoPict="0">
                <anchor moveWithCells="1">
                  <from>
                    <xdr:col>1</xdr:col>
                    <xdr:colOff>0</xdr:colOff>
                    <xdr:row>58</xdr:row>
                    <xdr:rowOff>0</xdr:rowOff>
                  </from>
                  <to>
                    <xdr:col>2</xdr:col>
                    <xdr:colOff>19050</xdr:colOff>
                    <xdr:row>58</xdr:row>
                    <xdr:rowOff>219075</xdr:rowOff>
                  </to>
                </anchor>
              </controlPr>
            </control>
          </mc:Choice>
        </mc:AlternateContent>
        <mc:AlternateContent xmlns:mc="http://schemas.openxmlformats.org/markup-compatibility/2006">
          <mc:Choice Requires="x14">
            <control shapeId="39945" r:id="rId6" name="Option Button 9">
              <controlPr defaultSize="0" autoFill="0" autoLine="0" autoPict="0">
                <anchor moveWithCells="1">
                  <from>
                    <xdr:col>1</xdr:col>
                    <xdr:colOff>0</xdr:colOff>
                    <xdr:row>59</xdr:row>
                    <xdr:rowOff>0</xdr:rowOff>
                  </from>
                  <to>
                    <xdr:col>2</xdr:col>
                    <xdr:colOff>0</xdr:colOff>
                    <xdr:row>59</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29F9A6C5-EB36-45AF-A523-351AD353A22E}">
            <xm:f>OR(申込書!$AM$17=1,申込書!$AM$17=5,申込書!$AM$17=7)</xm:f>
            <x14:dxf>
              <fill>
                <patternFill>
                  <bgColor theme="1" tint="0.499984740745262"/>
                </patternFill>
              </fill>
            </x14:dxf>
          </x14:cfRule>
          <xm:sqref>A1:AF17 A18:B18 H18 AF18:AF24 A19:A20 A21:B21 H21 K21 S21 V21 A22:A24 A25:AF69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69"/>
  <sheetViews>
    <sheetView zoomScale="90" zoomScaleNormal="90" workbookViewId="0">
      <selection activeCell="N30" sqref="N30:AH32"/>
    </sheetView>
  </sheetViews>
  <sheetFormatPr defaultColWidth="13.75" defaultRowHeight="12" outlineLevelRow="1"/>
  <cols>
    <col min="1" max="1" width="13.75" style="379"/>
    <col min="2" max="2" width="13.875" style="377" bestFit="1" customWidth="1"/>
    <col min="3" max="3" width="15.5" style="379" bestFit="1" customWidth="1"/>
    <col min="4" max="7" width="13.875" style="379" bestFit="1" customWidth="1"/>
    <col min="8" max="9" width="15.5" style="379" bestFit="1" customWidth="1"/>
    <col min="10" max="20" width="13.875" style="379" bestFit="1" customWidth="1"/>
    <col min="21" max="23" width="13.75" style="379"/>
    <col min="24" max="29" width="13.875" style="379" bestFit="1" customWidth="1"/>
    <col min="30" max="16384" width="13.75" style="379"/>
  </cols>
  <sheetData>
    <row r="1" spans="1:29">
      <c r="A1" s="376" t="s">
        <v>401</v>
      </c>
      <c r="B1" s="377" t="s">
        <v>242</v>
      </c>
      <c r="C1" s="378">
        <f>申込書!$AB$2</f>
        <v>0</v>
      </c>
    </row>
    <row r="2" spans="1:29" s="168" customFormat="1" ht="12" customHeight="1">
      <c r="B2" s="380" t="s">
        <v>379</v>
      </c>
      <c r="C2" s="381" t="s">
        <v>380</v>
      </c>
      <c r="D2" s="381" t="s">
        <v>381</v>
      </c>
      <c r="E2" s="382" t="s">
        <v>266</v>
      </c>
      <c r="F2" s="382" t="s">
        <v>382</v>
      </c>
      <c r="G2" s="383" t="s">
        <v>383</v>
      </c>
      <c r="H2" s="168" t="s">
        <v>384</v>
      </c>
      <c r="I2" s="382" t="s">
        <v>385</v>
      </c>
      <c r="J2" s="168" t="s">
        <v>175</v>
      </c>
      <c r="K2" s="168" t="s">
        <v>176</v>
      </c>
      <c r="L2" s="382" t="s">
        <v>99</v>
      </c>
      <c r="M2" s="383" t="s">
        <v>170</v>
      </c>
      <c r="N2" s="383" t="s">
        <v>386</v>
      </c>
      <c r="O2" s="168" t="s">
        <v>387</v>
      </c>
      <c r="P2" s="168" t="s">
        <v>290</v>
      </c>
      <c r="Q2" s="168" t="s">
        <v>370</v>
      </c>
      <c r="S2" s="168" t="s">
        <v>371</v>
      </c>
      <c r="U2" s="168" t="s">
        <v>372</v>
      </c>
      <c r="X2" s="168" t="s">
        <v>388</v>
      </c>
      <c r="Y2" s="168" t="s">
        <v>389</v>
      </c>
      <c r="Z2" s="168" t="s">
        <v>390</v>
      </c>
      <c r="AA2" s="168" t="s">
        <v>391</v>
      </c>
      <c r="AB2" s="168" t="s">
        <v>392</v>
      </c>
      <c r="AC2" s="168" t="s">
        <v>393</v>
      </c>
    </row>
    <row r="3" spans="1:29" s="386" customFormat="1">
      <c r="A3" s="384"/>
      <c r="B3" s="385">
        <f>申込書!$AH$2</f>
        <v>0</v>
      </c>
      <c r="C3" s="386" t="str">
        <f>内訳書!$H$2</f>
        <v/>
      </c>
      <c r="D3" s="386" t="str">
        <f>IF(変更届!$AR$2="","",変更届!$AR$2)</f>
        <v/>
      </c>
      <c r="E3" s="386">
        <f>申込書!$E$33</f>
        <v>0</v>
      </c>
      <c r="F3" s="386">
        <f>申込書!$E$16</f>
        <v>0</v>
      </c>
      <c r="G3" s="386" t="e">
        <f>VLOOKUP(申込書!$AM$34,$B$62:$C$69,2,TRUE)</f>
        <v>#N/A</v>
      </c>
      <c r="H3" s="424">
        <f>MIN($H12:$H19)</f>
        <v>0</v>
      </c>
      <c r="I3" s="424">
        <f>MAX($H12:$H19)</f>
        <v>0</v>
      </c>
      <c r="J3" s="386" t="e">
        <f>VLOOKUP(判定表!$D$2,判定表!$B$3:$D$10,2,TRUE)</f>
        <v>#N/A</v>
      </c>
      <c r="K3" s="386" t="e">
        <f>VLOOKUP(判定表!$G$2,判定表!$E$3:$G$8,2,TRUE)</f>
        <v>#N/A</v>
      </c>
      <c r="L3" s="388">
        <f>SUM($L$4:$L$11)</f>
        <v>0</v>
      </c>
      <c r="M3" s="388">
        <f>SUM($M$4:$M$11)</f>
        <v>0</v>
      </c>
      <c r="N3" s="389">
        <f>申込書!$Y$49</f>
        <v>0</v>
      </c>
      <c r="O3" s="390">
        <f>付帯設備備品使用申込書!$AG$53</f>
        <v>0</v>
      </c>
      <c r="P3" s="386" t="e">
        <f>SUM(申込書!#REF!,申込書!#REF!)</f>
        <v>#REF!</v>
      </c>
      <c r="Q3" s="391">
        <f>申込書!$F$22</f>
        <v>0</v>
      </c>
      <c r="R3" s="386">
        <f>申込書!$E$23</f>
        <v>0</v>
      </c>
      <c r="S3" s="386">
        <f>申込書!$W$27</f>
        <v>0</v>
      </c>
      <c r="T3" s="386">
        <f>申込書!$H$27</f>
        <v>0</v>
      </c>
      <c r="U3" s="386" t="e">
        <f>IF(申込書!#REF!="",$Q3,申込書!#REF!)</f>
        <v>#REF!</v>
      </c>
      <c r="V3" s="386" t="e">
        <f>IF(申込書!#REF!="",R3,申込書!#REF!)</f>
        <v>#REF!</v>
      </c>
      <c r="W3" s="386" t="e">
        <f>IF(申込書!#REF!="",T3,申込書!#REF!)</f>
        <v>#REF!</v>
      </c>
      <c r="X3" s="388">
        <f>内訳書!$H8</f>
        <v>0</v>
      </c>
      <c r="Y3" s="390"/>
      <c r="Z3" s="390"/>
      <c r="AA3" s="388">
        <f>内訳書!$P$9</f>
        <v>0</v>
      </c>
      <c r="AB3" s="390"/>
      <c r="AC3" s="390"/>
    </row>
    <row r="4" spans="1:29" s="394" customFormat="1" hidden="1" outlineLevel="1">
      <c r="A4" s="392" t="s">
        <v>5</v>
      </c>
      <c r="B4" s="393"/>
      <c r="H4" s="425" t="str">
        <f>IF(申込書!A64="","",申込書!A64)</f>
        <v/>
      </c>
      <c r="I4" s="425" t="str">
        <f>IF($H4="","",IF(COUNTIF($H$4:$H4,$H4)=1,RANK($H4,$H$4:$H$11,1),""))</f>
        <v/>
      </c>
      <c r="L4" s="396">
        <f t="shared" ref="L4:L7" si="0">$X4</f>
        <v>0</v>
      </c>
      <c r="M4" s="396">
        <f>$AA4</f>
        <v>0</v>
      </c>
      <c r="N4" s="397"/>
      <c r="O4" s="398"/>
      <c r="Q4" s="399"/>
      <c r="X4" s="396">
        <f>内訳書!$H9</f>
        <v>0</v>
      </c>
      <c r="Y4" s="398"/>
      <c r="Z4" s="398"/>
      <c r="AA4" s="396">
        <f>内訳書!$P$9</f>
        <v>0</v>
      </c>
      <c r="AB4" s="398"/>
      <c r="AC4" s="398"/>
    </row>
    <row r="5" spans="1:29" s="394" customFormat="1" hidden="1" outlineLevel="1">
      <c r="A5" s="392" t="s">
        <v>5</v>
      </c>
      <c r="B5" s="393"/>
      <c r="H5" s="425" t="str">
        <f>IF(申込書!A66="","",申込書!A66)</f>
        <v/>
      </c>
      <c r="I5" s="425" t="str">
        <f>IF($H5="","",IF(COUNTIF($H$4:$H5,$H5)=1,RANK($H5,$H$4:$H$11,1),""))</f>
        <v/>
      </c>
      <c r="L5" s="396">
        <f t="shared" si="0"/>
        <v>0</v>
      </c>
      <c r="M5" s="396">
        <f t="shared" ref="M5:M7" si="1">$AA5</f>
        <v>0</v>
      </c>
      <c r="N5" s="397"/>
      <c r="O5" s="398"/>
      <c r="Q5" s="399"/>
      <c r="X5" s="396">
        <f>内訳書!$H11</f>
        <v>0</v>
      </c>
      <c r="Y5" s="398"/>
      <c r="Z5" s="398"/>
      <c r="AA5" s="396">
        <f>内訳書!$P$11</f>
        <v>0</v>
      </c>
      <c r="AB5" s="398"/>
      <c r="AC5" s="398"/>
    </row>
    <row r="6" spans="1:29" s="394" customFormat="1" hidden="1" outlineLevel="1">
      <c r="A6" s="392" t="s">
        <v>5</v>
      </c>
      <c r="B6" s="393"/>
      <c r="H6" s="425" t="str">
        <f>IF(申込書!A68="","",申込書!A68)</f>
        <v/>
      </c>
      <c r="I6" s="425" t="str">
        <f>IF($H6="","",IF(COUNTIF($H$4:$H6,$H6)=1,RANK($H6,$H$4:$H$11,1),""))</f>
        <v/>
      </c>
      <c r="L6" s="396">
        <f t="shared" si="0"/>
        <v>0</v>
      </c>
      <c r="M6" s="396">
        <f t="shared" si="1"/>
        <v>0</v>
      </c>
      <c r="N6" s="397"/>
      <c r="O6" s="398"/>
      <c r="Q6" s="399"/>
      <c r="X6" s="396">
        <f>内訳書!$H13</f>
        <v>0</v>
      </c>
      <c r="Y6" s="398"/>
      <c r="Z6" s="398"/>
      <c r="AA6" s="396">
        <f>内訳書!$P$13</f>
        <v>0</v>
      </c>
      <c r="AB6" s="398"/>
      <c r="AC6" s="398"/>
    </row>
    <row r="7" spans="1:29" s="394" customFormat="1" hidden="1" outlineLevel="1">
      <c r="A7" s="392" t="s">
        <v>5</v>
      </c>
      <c r="B7" s="393"/>
      <c r="H7" s="425" t="str">
        <f>IF(申込書!A70="","",申込書!A70)</f>
        <v/>
      </c>
      <c r="I7" s="425" t="str">
        <f>IF($H7="","",IF(COUNTIF($H$4:$H7,$H7)=1,RANK($H7,$H$4:$H$11,1),""))</f>
        <v/>
      </c>
      <c r="L7" s="396">
        <f t="shared" si="0"/>
        <v>0</v>
      </c>
      <c r="M7" s="396">
        <f t="shared" si="1"/>
        <v>0</v>
      </c>
      <c r="N7" s="397"/>
      <c r="O7" s="398"/>
      <c r="Q7" s="399"/>
      <c r="X7" s="396">
        <f>内訳書!$H15</f>
        <v>0</v>
      </c>
      <c r="Y7" s="398"/>
      <c r="Z7" s="398"/>
      <c r="AA7" s="396">
        <f>内訳書!$P$15</f>
        <v>0</v>
      </c>
      <c r="AB7" s="398"/>
      <c r="AC7" s="398"/>
    </row>
    <row r="8" spans="1:29" s="394" customFormat="1" hidden="1" outlineLevel="1">
      <c r="A8" s="392" t="s">
        <v>402</v>
      </c>
      <c r="B8" s="393"/>
      <c r="H8" s="425" t="str">
        <f>IF(申込書!A76="","",申込書!A76)</f>
        <v/>
      </c>
      <c r="I8" s="425" t="str">
        <f>IF($H8="","",IF(COUNTIF($H$4:$H8,$H8)=1,RANK($H8,$H$4:$H$11,1),""))</f>
        <v/>
      </c>
      <c r="L8" s="396">
        <f>SUM(Y8:Z8)</f>
        <v>0</v>
      </c>
      <c r="M8" s="396">
        <f>SUM(AB8:AC8)</f>
        <v>0</v>
      </c>
      <c r="N8" s="397"/>
      <c r="O8" s="398"/>
      <c r="Q8" s="399"/>
      <c r="X8" s="398"/>
      <c r="Y8" s="396">
        <f>内訳書!$H$17</f>
        <v>0</v>
      </c>
      <c r="Z8" s="396">
        <f>内訳書!$H$25</f>
        <v>0</v>
      </c>
      <c r="AA8" s="398"/>
      <c r="AB8" s="396">
        <f>内訳書!$P$17</f>
        <v>0</v>
      </c>
      <c r="AC8" s="396">
        <f>内訳書!$P$25</f>
        <v>0</v>
      </c>
    </row>
    <row r="9" spans="1:29" s="394" customFormat="1" hidden="1" outlineLevel="1">
      <c r="A9" s="392" t="s">
        <v>402</v>
      </c>
      <c r="B9" s="393"/>
      <c r="H9" s="425" t="str">
        <f>IF(申込書!A78="","",申込書!A78)</f>
        <v/>
      </c>
      <c r="I9" s="425" t="str">
        <f>IF($H9="","",IF(COUNTIF($H$4:$H9,$H9)=1,RANK($H9,$H$4:$H$11,1),""))</f>
        <v/>
      </c>
      <c r="L9" s="396">
        <f t="shared" ref="L9:L11" si="2">SUM(Y9:Z9)</f>
        <v>0</v>
      </c>
      <c r="M9" s="396">
        <f t="shared" ref="M9:M11" si="3">SUM(AB9:AC9)</f>
        <v>0</v>
      </c>
      <c r="N9" s="397"/>
      <c r="O9" s="398"/>
      <c r="Q9" s="399"/>
      <c r="X9" s="398"/>
      <c r="Y9" s="396">
        <f>内訳書!$H$19</f>
        <v>0</v>
      </c>
      <c r="Z9" s="396">
        <f>内訳書!$H$27</f>
        <v>0</v>
      </c>
      <c r="AA9" s="398"/>
      <c r="AB9" s="396">
        <f>内訳書!$P$19</f>
        <v>0</v>
      </c>
      <c r="AC9" s="396">
        <f>内訳書!$P$27</f>
        <v>0</v>
      </c>
    </row>
    <row r="10" spans="1:29" s="394" customFormat="1" hidden="1" outlineLevel="1">
      <c r="A10" s="392" t="s">
        <v>402</v>
      </c>
      <c r="B10" s="393"/>
      <c r="H10" s="425" t="str">
        <f>IF(申込書!A80="","",申込書!A80)</f>
        <v/>
      </c>
      <c r="I10" s="425" t="str">
        <f>IF($H10="","",IF(COUNTIF($H$4:$H10,$H10)=1,RANK($H10,$H$4:$H$11,1),""))</f>
        <v/>
      </c>
      <c r="L10" s="396">
        <f t="shared" si="2"/>
        <v>0</v>
      </c>
      <c r="M10" s="396">
        <f t="shared" si="3"/>
        <v>0</v>
      </c>
      <c r="N10" s="397"/>
      <c r="O10" s="398"/>
      <c r="Q10" s="399"/>
      <c r="X10" s="398"/>
      <c r="Y10" s="396">
        <f>内訳書!$H$21</f>
        <v>0</v>
      </c>
      <c r="Z10" s="396">
        <f>内訳書!$H$29</f>
        <v>0</v>
      </c>
      <c r="AA10" s="398"/>
      <c r="AB10" s="396">
        <f>内訳書!$P$21</f>
        <v>0</v>
      </c>
      <c r="AC10" s="396">
        <f>内訳書!$P$29</f>
        <v>0</v>
      </c>
    </row>
    <row r="11" spans="1:29" s="394" customFormat="1" hidden="1" outlineLevel="1">
      <c r="A11" s="392" t="s">
        <v>402</v>
      </c>
      <c r="B11" s="393"/>
      <c r="H11" s="425" t="str">
        <f>IF(申込書!A82="","",申込書!A82)</f>
        <v/>
      </c>
      <c r="I11" s="425" t="str">
        <f>IF($H11="","",IF(COUNTIF($H$4:$H11,$H11)=1,RANK($H11,$H$4:$H$11,1),""))</f>
        <v/>
      </c>
      <c r="L11" s="396">
        <f t="shared" si="2"/>
        <v>0</v>
      </c>
      <c r="M11" s="396">
        <f t="shared" si="3"/>
        <v>0</v>
      </c>
      <c r="N11" s="397"/>
      <c r="O11" s="398"/>
      <c r="Q11" s="399"/>
      <c r="X11" s="398"/>
      <c r="Y11" s="396">
        <f>内訳書!$H$23</f>
        <v>0</v>
      </c>
      <c r="Z11" s="396">
        <f>内訳書!$H$31</f>
        <v>0</v>
      </c>
      <c r="AA11" s="398"/>
      <c r="AB11" s="396">
        <f>内訳書!$P$23</f>
        <v>0</v>
      </c>
      <c r="AC11" s="396">
        <f>内訳書!$P$31</f>
        <v>0</v>
      </c>
    </row>
    <row r="12" spans="1:29" collapsed="1">
      <c r="A12" s="384" t="str">
        <f>IF($H12="","",$A$3)</f>
        <v/>
      </c>
      <c r="B12" s="377" t="str">
        <f>IF($H12="","",$B$3)</f>
        <v/>
      </c>
      <c r="C12" s="379" t="str">
        <f>IF($H12="","",$C$3)</f>
        <v/>
      </c>
      <c r="D12" s="379" t="str">
        <f>IF($H12="","",$D$3)</f>
        <v/>
      </c>
      <c r="E12" s="379" t="str">
        <f>IF($H12="","",$E$3)</f>
        <v/>
      </c>
      <c r="F12" s="379" t="str">
        <f>IF($H12="","",$F$3)</f>
        <v/>
      </c>
      <c r="G12" s="379" t="str">
        <f>IF($H12="","",$G$3)</f>
        <v/>
      </c>
      <c r="H12" s="426" t="str">
        <f>IFERROR(SMALL($H$4:$H$11,SMALL($I$4:$I$11,1)),"")</f>
        <v/>
      </c>
      <c r="I12" s="426" t="str">
        <f>IF(H12="","",VLOOKUP(WEEKDAY($H12,1),$D$62:$E$68,2,TRUE))</f>
        <v/>
      </c>
      <c r="J12" s="379" t="str">
        <f>IF($H12="","",$J$3)</f>
        <v/>
      </c>
      <c r="K12" s="379" t="str">
        <f>IF($H12="","",$K$3)</f>
        <v/>
      </c>
      <c r="L12" s="402" t="str">
        <f>IF($H12="","",SUM($X12:$Z12))</f>
        <v/>
      </c>
      <c r="M12" s="402" t="str">
        <f>IF($H12="","",SUM($AA12:$AC12))</f>
        <v/>
      </c>
      <c r="N12" s="379" t="str">
        <f>IF($H12="","",$N$3)</f>
        <v/>
      </c>
      <c r="O12" s="402" t="str">
        <f>IF($H12="","",$O$3)</f>
        <v/>
      </c>
      <c r="P12" s="379" t="str">
        <f>IF($H12="","",$P$3)</f>
        <v/>
      </c>
      <c r="Q12" s="379" t="str">
        <f>IF($H12="","",$Q$3)</f>
        <v/>
      </c>
      <c r="R12" s="379" t="str">
        <f>IF($H12="","",$R$3)</f>
        <v/>
      </c>
      <c r="S12" s="379" t="str">
        <f>IF($H12="","",$S$3)</f>
        <v/>
      </c>
      <c r="T12" s="379" t="str">
        <f>IF($H12="","",$T$3)</f>
        <v/>
      </c>
      <c r="U12" s="379" t="str">
        <f>IF($H12="","",$U$3)</f>
        <v/>
      </c>
      <c r="V12" s="379" t="str">
        <f>IF($H12="","",$V$3)</f>
        <v/>
      </c>
      <c r="W12" s="379" t="str">
        <f>IF($H12="","",$W$3)</f>
        <v/>
      </c>
      <c r="X12" s="402" t="str">
        <f>IF(H12="","",SUMIF($H$4:$H$11,$H12,$X$4:$X$11))</f>
        <v/>
      </c>
      <c r="Y12" s="402" t="str">
        <f>IF(H12="","",SUMIF($H$4:$H$11,$H12,$Y$4:$Y$11))</f>
        <v/>
      </c>
      <c r="Z12" s="402" t="str">
        <f>IF(H12="","",SUMIF($H$4:$H$11,$H12,$Z$4:$Z$11))</f>
        <v/>
      </c>
      <c r="AA12" s="402" t="str">
        <f>IF(H12="","",SUMIF($H$4:$H$11,$H12,$AA$4:$AA$11))</f>
        <v/>
      </c>
      <c r="AB12" s="402" t="str">
        <f>IF(H12="","",SUMIF($H$4:$H$11,$H12,$AB$4:$AB$11))</f>
        <v/>
      </c>
      <c r="AC12" s="402" t="str">
        <f>IF(H12="","",SUMIF($H$4:$H$11,$H12,$AC$4:$AC$11))</f>
        <v/>
      </c>
    </row>
    <row r="13" spans="1:29">
      <c r="A13" s="384" t="str">
        <f t="shared" ref="A13:A19" si="4">IF($H13="","",$A$3)</f>
        <v/>
      </c>
      <c r="B13" s="377" t="str">
        <f t="shared" ref="B13:B19" si="5">IF($H13="","",$B$3)</f>
        <v/>
      </c>
      <c r="C13" s="379" t="str">
        <f t="shared" ref="C13:C19" si="6">IF($H13="","",$C$3)</f>
        <v/>
      </c>
      <c r="D13" s="379" t="str">
        <f t="shared" ref="D13:D19" si="7">IF($H13="","",$D$3)</f>
        <v/>
      </c>
      <c r="E13" s="379" t="str">
        <f t="shared" ref="E13:E19" si="8">IF($H13="","",$E$3)</f>
        <v/>
      </c>
      <c r="F13" s="379" t="str">
        <f t="shared" ref="F13:F19" si="9">IF($H13="","",$F$3)</f>
        <v/>
      </c>
      <c r="G13" s="379" t="str">
        <f t="shared" ref="G13:G19" si="10">IF($H13="","",$G$3)</f>
        <v/>
      </c>
      <c r="H13" s="426" t="str">
        <f>IFERROR(SMALL($H$4:$H$11,SMALL($I$4:$I$11,2)),"")</f>
        <v/>
      </c>
      <c r="I13" s="426" t="str">
        <f>IF(H13="","",VLOOKUP(WEEKDAY($H13,1),$D$62:$E$68,2,TRUE))</f>
        <v/>
      </c>
      <c r="J13" s="379" t="str">
        <f t="shared" ref="J13:J19" si="11">IF($H13="","",$J$3)</f>
        <v/>
      </c>
      <c r="K13" s="379" t="str">
        <f t="shared" ref="K13:K19" si="12">IF($H13="","",$K$3)</f>
        <v/>
      </c>
      <c r="L13" s="402" t="str">
        <f t="shared" ref="L13:L19" si="13">IF($H13="","",SUM($X13:$Z13))</f>
        <v/>
      </c>
      <c r="M13" s="402" t="str">
        <f t="shared" ref="M13:M19" si="14">IF($H13="","",SUM($AA13:$AC13))</f>
        <v/>
      </c>
      <c r="N13" s="379" t="str">
        <f t="shared" ref="N13:N19" si="15">IF($H13="","",$N$3)</f>
        <v/>
      </c>
      <c r="O13" s="402" t="str">
        <f t="shared" ref="O13:O19" si="16">IF($H13="","",$O$3)</f>
        <v/>
      </c>
      <c r="P13" s="379" t="str">
        <f t="shared" ref="P13:P19" si="17">IF($H13="","",$P$3)</f>
        <v/>
      </c>
      <c r="Q13" s="379" t="str">
        <f t="shared" ref="Q13:Q19" si="18">IF($H13="","",$Q$3)</f>
        <v/>
      </c>
      <c r="R13" s="379" t="str">
        <f t="shared" ref="R13:R19" si="19">IF($H13="","",$R$3)</f>
        <v/>
      </c>
      <c r="S13" s="379" t="str">
        <f t="shared" ref="S13:S19" si="20">IF($H13="","",$S$3)</f>
        <v/>
      </c>
      <c r="T13" s="379" t="str">
        <f t="shared" ref="T13:T19" si="21">IF($H13="","",$T$3)</f>
        <v/>
      </c>
      <c r="U13" s="379" t="str">
        <f t="shared" ref="U13:U19" si="22">IF($H13="","",$U$3)</f>
        <v/>
      </c>
      <c r="V13" s="379" t="str">
        <f t="shared" ref="V13:V19" si="23">IF($H13="","",$V$3)</f>
        <v/>
      </c>
      <c r="W13" s="379" t="str">
        <f t="shared" ref="W13:W19" si="24">IF($H13="","",$W$3)</f>
        <v/>
      </c>
      <c r="X13" s="402" t="str">
        <f t="shared" ref="X13:X19" si="25">IF(H13="","",SUMIF($H$4:$H$11,$H13,$X$4:$X$11))</f>
        <v/>
      </c>
      <c r="Y13" s="402" t="str">
        <f t="shared" ref="Y13:Y19" si="26">IF(H13="","",SUMIF($H$4:$H$11,$H13,$Y$4:$Y$11))</f>
        <v/>
      </c>
      <c r="Z13" s="402" t="str">
        <f t="shared" ref="Z13:Z19" si="27">IF(H13="","",SUMIF($H$4:$H$11,$H13,$Z$4:$Z$11))</f>
        <v/>
      </c>
      <c r="AA13" s="402" t="str">
        <f t="shared" ref="AA13:AA19" si="28">IF(H13="","",SUMIF($H$4:$H$11,$H13,$AA$4:$AA$11))</f>
        <v/>
      </c>
      <c r="AB13" s="402" t="str">
        <f t="shared" ref="AB13:AB19" si="29">IF(H13="","",SUMIF($H$4:$H$11,$H13,$AB$4:$AB$11))</f>
        <v/>
      </c>
      <c r="AC13" s="402" t="str">
        <f t="shared" ref="AC13:AC19" si="30">IF(H13="","",SUMIF($H$4:$H$11,$H13,$AC$4:$AC$11))</f>
        <v/>
      </c>
    </row>
    <row r="14" spans="1:29">
      <c r="A14" s="384" t="str">
        <f t="shared" si="4"/>
        <v/>
      </c>
      <c r="B14" s="377" t="str">
        <f t="shared" si="5"/>
        <v/>
      </c>
      <c r="C14" s="379" t="str">
        <f t="shared" si="6"/>
        <v/>
      </c>
      <c r="D14" s="379" t="str">
        <f t="shared" si="7"/>
        <v/>
      </c>
      <c r="E14" s="379" t="str">
        <f t="shared" si="8"/>
        <v/>
      </c>
      <c r="F14" s="379" t="str">
        <f t="shared" si="9"/>
        <v/>
      </c>
      <c r="G14" s="379" t="str">
        <f t="shared" si="10"/>
        <v/>
      </c>
      <c r="H14" s="400" t="str">
        <f>IFERROR(SMALL($H$4:$H$11,SMALL($I$4:$I$11,3)),"")</f>
        <v/>
      </c>
      <c r="I14" s="401" t="str">
        <f>IF(H14="","",VLOOKUP(WEEKDAY($H14,1),$D$62:$E$68,2,TRUE))</f>
        <v/>
      </c>
      <c r="J14" s="379" t="str">
        <f t="shared" si="11"/>
        <v/>
      </c>
      <c r="K14" s="379" t="str">
        <f t="shared" si="12"/>
        <v/>
      </c>
      <c r="L14" s="402" t="str">
        <f t="shared" si="13"/>
        <v/>
      </c>
      <c r="M14" s="402" t="str">
        <f t="shared" si="14"/>
        <v/>
      </c>
      <c r="N14" s="379" t="str">
        <f t="shared" si="15"/>
        <v/>
      </c>
      <c r="O14" s="402" t="str">
        <f t="shared" si="16"/>
        <v/>
      </c>
      <c r="P14" s="379" t="str">
        <f t="shared" si="17"/>
        <v/>
      </c>
      <c r="Q14" s="379" t="str">
        <f t="shared" si="18"/>
        <v/>
      </c>
      <c r="R14" s="379" t="str">
        <f t="shared" si="19"/>
        <v/>
      </c>
      <c r="S14" s="379" t="str">
        <f t="shared" si="20"/>
        <v/>
      </c>
      <c r="T14" s="379" t="str">
        <f t="shared" si="21"/>
        <v/>
      </c>
      <c r="U14" s="379" t="str">
        <f t="shared" si="22"/>
        <v/>
      </c>
      <c r="V14" s="379" t="str">
        <f t="shared" si="23"/>
        <v/>
      </c>
      <c r="W14" s="379" t="str">
        <f t="shared" si="24"/>
        <v/>
      </c>
      <c r="X14" s="402" t="str">
        <f t="shared" si="25"/>
        <v/>
      </c>
      <c r="Y14" s="402" t="str">
        <f t="shared" si="26"/>
        <v/>
      </c>
      <c r="Z14" s="402" t="str">
        <f t="shared" si="27"/>
        <v/>
      </c>
      <c r="AA14" s="402" t="str">
        <f t="shared" si="28"/>
        <v/>
      </c>
      <c r="AB14" s="402" t="str">
        <f t="shared" si="29"/>
        <v/>
      </c>
      <c r="AC14" s="402" t="str">
        <f t="shared" si="30"/>
        <v/>
      </c>
    </row>
    <row r="15" spans="1:29">
      <c r="A15" s="384" t="str">
        <f t="shared" si="4"/>
        <v/>
      </c>
      <c r="B15" s="377" t="str">
        <f t="shared" si="5"/>
        <v/>
      </c>
      <c r="C15" s="379" t="str">
        <f t="shared" si="6"/>
        <v/>
      </c>
      <c r="D15" s="379" t="str">
        <f t="shared" si="7"/>
        <v/>
      </c>
      <c r="E15" s="379" t="str">
        <f t="shared" si="8"/>
        <v/>
      </c>
      <c r="F15" s="379" t="str">
        <f t="shared" si="9"/>
        <v/>
      </c>
      <c r="G15" s="379" t="str">
        <f t="shared" si="10"/>
        <v/>
      </c>
      <c r="H15" s="400" t="str">
        <f>IFERROR(SMALL($H$4:$H$11,SMALL($I$4:$I$11,4)),"")</f>
        <v/>
      </c>
      <c r="I15" s="401" t="str">
        <f>IF(H15="","",VLOOKUP(WEEKDAY($H15,1),$D$62:$E$68,2,TRUE))</f>
        <v/>
      </c>
      <c r="J15" s="379" t="str">
        <f t="shared" si="11"/>
        <v/>
      </c>
      <c r="K15" s="379" t="str">
        <f t="shared" si="12"/>
        <v/>
      </c>
      <c r="L15" s="402" t="str">
        <f t="shared" si="13"/>
        <v/>
      </c>
      <c r="M15" s="402" t="str">
        <f t="shared" si="14"/>
        <v/>
      </c>
      <c r="N15" s="379" t="str">
        <f t="shared" si="15"/>
        <v/>
      </c>
      <c r="O15" s="402" t="str">
        <f t="shared" si="16"/>
        <v/>
      </c>
      <c r="P15" s="379" t="str">
        <f t="shared" si="17"/>
        <v/>
      </c>
      <c r="Q15" s="379" t="str">
        <f t="shared" si="18"/>
        <v/>
      </c>
      <c r="R15" s="379" t="str">
        <f t="shared" si="19"/>
        <v/>
      </c>
      <c r="S15" s="379" t="str">
        <f t="shared" si="20"/>
        <v/>
      </c>
      <c r="T15" s="379" t="str">
        <f t="shared" si="21"/>
        <v/>
      </c>
      <c r="U15" s="379" t="str">
        <f t="shared" si="22"/>
        <v/>
      </c>
      <c r="V15" s="379" t="str">
        <f t="shared" si="23"/>
        <v/>
      </c>
      <c r="W15" s="379" t="str">
        <f t="shared" si="24"/>
        <v/>
      </c>
      <c r="X15" s="402" t="str">
        <f t="shared" si="25"/>
        <v/>
      </c>
      <c r="Y15" s="402" t="str">
        <f t="shared" si="26"/>
        <v/>
      </c>
      <c r="Z15" s="402" t="str">
        <f t="shared" si="27"/>
        <v/>
      </c>
      <c r="AA15" s="402" t="str">
        <f t="shared" si="28"/>
        <v/>
      </c>
      <c r="AB15" s="402" t="str">
        <f t="shared" si="29"/>
        <v/>
      </c>
      <c r="AC15" s="402" t="str">
        <f t="shared" si="30"/>
        <v/>
      </c>
    </row>
    <row r="16" spans="1:29">
      <c r="A16" s="384" t="str">
        <f t="shared" si="4"/>
        <v/>
      </c>
      <c r="B16" s="377" t="str">
        <f t="shared" si="5"/>
        <v/>
      </c>
      <c r="C16" s="379" t="str">
        <f t="shared" si="6"/>
        <v/>
      </c>
      <c r="D16" s="379" t="str">
        <f t="shared" si="7"/>
        <v/>
      </c>
      <c r="E16" s="379" t="str">
        <f t="shared" si="8"/>
        <v/>
      </c>
      <c r="F16" s="379" t="str">
        <f t="shared" si="9"/>
        <v/>
      </c>
      <c r="G16" s="379" t="str">
        <f t="shared" si="10"/>
        <v/>
      </c>
      <c r="H16" s="400" t="str">
        <f>IFERROR(SMALL($H$4:$H$11,SMALL($I$4:$I$11,5)),"")</f>
        <v/>
      </c>
      <c r="I16" s="401" t="str">
        <f>IF(H16="","",VLOOKUP(WEEKDAY($H16,1),$D$62:$E$68,2,TRUE))</f>
        <v/>
      </c>
      <c r="J16" s="379" t="str">
        <f t="shared" si="11"/>
        <v/>
      </c>
      <c r="K16" s="379" t="str">
        <f t="shared" si="12"/>
        <v/>
      </c>
      <c r="L16" s="402" t="str">
        <f>IF($H16="","",SUM($X16:$Z16))</f>
        <v/>
      </c>
      <c r="M16" s="402" t="str">
        <f t="shared" si="14"/>
        <v/>
      </c>
      <c r="N16" s="379" t="str">
        <f t="shared" si="15"/>
        <v/>
      </c>
      <c r="O16" s="402" t="str">
        <f t="shared" si="16"/>
        <v/>
      </c>
      <c r="P16" s="379" t="str">
        <f t="shared" si="17"/>
        <v/>
      </c>
      <c r="Q16" s="379" t="str">
        <f t="shared" si="18"/>
        <v/>
      </c>
      <c r="R16" s="379" t="str">
        <f t="shared" si="19"/>
        <v/>
      </c>
      <c r="S16" s="379" t="str">
        <f t="shared" si="20"/>
        <v/>
      </c>
      <c r="T16" s="379" t="str">
        <f t="shared" si="21"/>
        <v/>
      </c>
      <c r="U16" s="379" t="str">
        <f t="shared" si="22"/>
        <v/>
      </c>
      <c r="V16" s="379" t="str">
        <f t="shared" si="23"/>
        <v/>
      </c>
      <c r="W16" s="379" t="str">
        <f t="shared" si="24"/>
        <v/>
      </c>
      <c r="X16" s="402" t="str">
        <f t="shared" si="25"/>
        <v/>
      </c>
      <c r="Y16" s="402" t="str">
        <f t="shared" si="26"/>
        <v/>
      </c>
      <c r="Z16" s="402" t="str">
        <f t="shared" si="27"/>
        <v/>
      </c>
      <c r="AA16" s="402" t="str">
        <f t="shared" si="28"/>
        <v/>
      </c>
      <c r="AB16" s="402" t="str">
        <f t="shared" si="29"/>
        <v/>
      </c>
      <c r="AC16" s="402" t="str">
        <f t="shared" si="30"/>
        <v/>
      </c>
    </row>
    <row r="17" spans="1:29">
      <c r="A17" s="384" t="str">
        <f t="shared" si="4"/>
        <v/>
      </c>
      <c r="B17" s="377" t="str">
        <f t="shared" si="5"/>
        <v/>
      </c>
      <c r="C17" s="379" t="str">
        <f t="shared" si="6"/>
        <v/>
      </c>
      <c r="D17" s="379" t="str">
        <f t="shared" si="7"/>
        <v/>
      </c>
      <c r="E17" s="379" t="str">
        <f t="shared" si="8"/>
        <v/>
      </c>
      <c r="F17" s="379" t="str">
        <f t="shared" si="9"/>
        <v/>
      </c>
      <c r="G17" s="379" t="str">
        <f t="shared" si="10"/>
        <v/>
      </c>
      <c r="H17" s="400" t="str">
        <f>IFERROR(SMALL($H$4:$H$11,SMALL($I$4:$I$11,6)),"")</f>
        <v/>
      </c>
      <c r="I17" s="401" t="str">
        <f t="shared" ref="I17:I19" si="31">IF(H17="","",H17)</f>
        <v/>
      </c>
      <c r="J17" s="379" t="str">
        <f t="shared" si="11"/>
        <v/>
      </c>
      <c r="K17" s="379" t="str">
        <f t="shared" si="12"/>
        <v/>
      </c>
      <c r="L17" s="379" t="str">
        <f t="shared" si="13"/>
        <v/>
      </c>
      <c r="M17" s="379" t="str">
        <f t="shared" si="14"/>
        <v/>
      </c>
      <c r="N17" s="379" t="str">
        <f t="shared" si="15"/>
        <v/>
      </c>
      <c r="O17" s="402" t="str">
        <f t="shared" si="16"/>
        <v/>
      </c>
      <c r="P17" s="379" t="str">
        <f t="shared" si="17"/>
        <v/>
      </c>
      <c r="Q17" s="379" t="str">
        <f t="shared" si="18"/>
        <v/>
      </c>
      <c r="R17" s="379" t="str">
        <f t="shared" si="19"/>
        <v/>
      </c>
      <c r="S17" s="379" t="str">
        <f t="shared" si="20"/>
        <v/>
      </c>
      <c r="T17" s="379" t="str">
        <f t="shared" si="21"/>
        <v/>
      </c>
      <c r="U17" s="379" t="str">
        <f t="shared" si="22"/>
        <v/>
      </c>
      <c r="V17" s="379" t="str">
        <f t="shared" si="23"/>
        <v/>
      </c>
      <c r="W17" s="379" t="str">
        <f t="shared" si="24"/>
        <v/>
      </c>
      <c r="X17" s="379" t="str">
        <f t="shared" si="25"/>
        <v/>
      </c>
      <c r="Y17" s="379" t="str">
        <f t="shared" si="26"/>
        <v/>
      </c>
      <c r="Z17" s="379" t="str">
        <f t="shared" si="27"/>
        <v/>
      </c>
      <c r="AA17" s="379" t="str">
        <f t="shared" si="28"/>
        <v/>
      </c>
      <c r="AB17" s="379" t="str">
        <f t="shared" si="29"/>
        <v/>
      </c>
      <c r="AC17" s="379" t="str">
        <f t="shared" si="30"/>
        <v/>
      </c>
    </row>
    <row r="18" spans="1:29">
      <c r="A18" s="384" t="str">
        <f t="shared" si="4"/>
        <v/>
      </c>
      <c r="B18" s="377" t="str">
        <f t="shared" si="5"/>
        <v/>
      </c>
      <c r="C18" s="379" t="str">
        <f t="shared" si="6"/>
        <v/>
      </c>
      <c r="D18" s="379" t="str">
        <f t="shared" si="7"/>
        <v/>
      </c>
      <c r="E18" s="379" t="str">
        <f t="shared" si="8"/>
        <v/>
      </c>
      <c r="F18" s="379" t="str">
        <f t="shared" si="9"/>
        <v/>
      </c>
      <c r="G18" s="379" t="str">
        <f t="shared" si="10"/>
        <v/>
      </c>
      <c r="H18" s="400" t="str">
        <f>IFERROR(SMALL($H$4:$H$11,SMALL($I$4:$I$11,7)),"")</f>
        <v/>
      </c>
      <c r="I18" s="401" t="str">
        <f t="shared" si="31"/>
        <v/>
      </c>
      <c r="J18" s="379" t="str">
        <f t="shared" si="11"/>
        <v/>
      </c>
      <c r="K18" s="379" t="str">
        <f t="shared" si="12"/>
        <v/>
      </c>
      <c r="L18" s="379" t="str">
        <f t="shared" si="13"/>
        <v/>
      </c>
      <c r="M18" s="379" t="str">
        <f t="shared" si="14"/>
        <v/>
      </c>
      <c r="N18" s="379" t="str">
        <f t="shared" si="15"/>
        <v/>
      </c>
      <c r="O18" s="402" t="str">
        <f t="shared" si="16"/>
        <v/>
      </c>
      <c r="P18" s="379" t="str">
        <f t="shared" si="17"/>
        <v/>
      </c>
      <c r="Q18" s="379" t="str">
        <f t="shared" si="18"/>
        <v/>
      </c>
      <c r="R18" s="379" t="str">
        <f t="shared" si="19"/>
        <v/>
      </c>
      <c r="S18" s="379" t="str">
        <f t="shared" si="20"/>
        <v/>
      </c>
      <c r="T18" s="379" t="str">
        <f t="shared" si="21"/>
        <v/>
      </c>
      <c r="U18" s="379" t="str">
        <f t="shared" si="22"/>
        <v/>
      </c>
      <c r="V18" s="379" t="str">
        <f t="shared" si="23"/>
        <v/>
      </c>
      <c r="W18" s="379" t="str">
        <f t="shared" si="24"/>
        <v/>
      </c>
      <c r="X18" s="379" t="str">
        <f t="shared" si="25"/>
        <v/>
      </c>
      <c r="Y18" s="379" t="str">
        <f t="shared" si="26"/>
        <v/>
      </c>
      <c r="Z18" s="379" t="str">
        <f t="shared" si="27"/>
        <v/>
      </c>
      <c r="AA18" s="379" t="str">
        <f t="shared" si="28"/>
        <v/>
      </c>
      <c r="AB18" s="379" t="str">
        <f t="shared" si="29"/>
        <v/>
      </c>
      <c r="AC18" s="379" t="str">
        <f t="shared" si="30"/>
        <v/>
      </c>
    </row>
    <row r="19" spans="1:29">
      <c r="A19" s="384" t="str">
        <f t="shared" si="4"/>
        <v/>
      </c>
      <c r="B19" s="377" t="str">
        <f t="shared" si="5"/>
        <v/>
      </c>
      <c r="C19" s="379" t="str">
        <f t="shared" si="6"/>
        <v/>
      </c>
      <c r="D19" s="379" t="str">
        <f t="shared" si="7"/>
        <v/>
      </c>
      <c r="E19" s="379" t="str">
        <f t="shared" si="8"/>
        <v/>
      </c>
      <c r="F19" s="379" t="str">
        <f t="shared" si="9"/>
        <v/>
      </c>
      <c r="G19" s="379" t="str">
        <f t="shared" si="10"/>
        <v/>
      </c>
      <c r="H19" s="400" t="str">
        <f>IFERROR(SMALL($H$4:$H$11,SMALL($I$4:$I$11,8)),"")</f>
        <v/>
      </c>
      <c r="I19" s="401" t="str">
        <f t="shared" si="31"/>
        <v/>
      </c>
      <c r="J19" s="379" t="str">
        <f t="shared" si="11"/>
        <v/>
      </c>
      <c r="K19" s="379" t="str">
        <f t="shared" si="12"/>
        <v/>
      </c>
      <c r="L19" s="379" t="str">
        <f t="shared" si="13"/>
        <v/>
      </c>
      <c r="M19" s="379" t="str">
        <f t="shared" si="14"/>
        <v/>
      </c>
      <c r="N19" s="379" t="str">
        <f t="shared" si="15"/>
        <v/>
      </c>
      <c r="O19" s="402" t="str">
        <f t="shared" si="16"/>
        <v/>
      </c>
      <c r="P19" s="379" t="str">
        <f t="shared" si="17"/>
        <v/>
      </c>
      <c r="Q19" s="379" t="str">
        <f t="shared" si="18"/>
        <v/>
      </c>
      <c r="R19" s="379" t="str">
        <f t="shared" si="19"/>
        <v/>
      </c>
      <c r="S19" s="379" t="str">
        <f t="shared" si="20"/>
        <v/>
      </c>
      <c r="T19" s="379" t="str">
        <f t="shared" si="21"/>
        <v/>
      </c>
      <c r="U19" s="379" t="str">
        <f t="shared" si="22"/>
        <v/>
      </c>
      <c r="V19" s="379" t="str">
        <f t="shared" si="23"/>
        <v/>
      </c>
      <c r="W19" s="379" t="str">
        <f t="shared" si="24"/>
        <v/>
      </c>
      <c r="X19" s="379" t="str">
        <f t="shared" si="25"/>
        <v/>
      </c>
      <c r="Y19" s="379" t="str">
        <f t="shared" si="26"/>
        <v/>
      </c>
      <c r="Z19" s="379" t="str">
        <f t="shared" si="27"/>
        <v/>
      </c>
      <c r="AA19" s="379" t="str">
        <f t="shared" si="28"/>
        <v/>
      </c>
      <c r="AB19" s="379" t="str">
        <f t="shared" si="29"/>
        <v/>
      </c>
      <c r="AC19" s="379" t="str">
        <f t="shared" si="30"/>
        <v/>
      </c>
    </row>
    <row r="20" spans="1:29" s="403" customFormat="1" ht="1.9" customHeight="1">
      <c r="B20" s="404"/>
      <c r="U20" s="403" t="str">
        <f>IF($H20="","",IF(申込書!#REF!="",Q20,申込書!#REF!))</f>
        <v/>
      </c>
      <c r="V20" s="403" t="str">
        <f>IF($H20="","",IF(申込書!#REF!="",R20,申込書!#REF!))</f>
        <v/>
      </c>
      <c r="W20" s="403" t="str">
        <f>IF($H20="","",IF(申込書!#REF!="",T20,申込書!#REF!))</f>
        <v/>
      </c>
    </row>
    <row r="21" spans="1:29">
      <c r="A21" s="405" t="s">
        <v>403</v>
      </c>
      <c r="B21" s="377" t="s">
        <v>242</v>
      </c>
      <c r="C21" s="378" t="str">
        <f>IF(変更届!$X$2="","",変更届!$X$2)</f>
        <v/>
      </c>
    </row>
    <row r="22" spans="1:29" s="168" customFormat="1" ht="12" customHeight="1">
      <c r="B22" s="380" t="s">
        <v>379</v>
      </c>
      <c r="C22" s="381" t="s">
        <v>380</v>
      </c>
      <c r="D22" s="381" t="s">
        <v>381</v>
      </c>
      <c r="E22" s="382" t="s">
        <v>266</v>
      </c>
      <c r="F22" s="382" t="s">
        <v>382</v>
      </c>
      <c r="G22" s="383" t="s">
        <v>383</v>
      </c>
      <c r="H22" s="168" t="s">
        <v>384</v>
      </c>
      <c r="I22" s="382" t="s">
        <v>385</v>
      </c>
      <c r="J22" s="168" t="s">
        <v>175</v>
      </c>
      <c r="K22" s="168" t="s">
        <v>176</v>
      </c>
      <c r="L22" s="382" t="s">
        <v>99</v>
      </c>
      <c r="M22" s="383" t="s">
        <v>170</v>
      </c>
      <c r="N22" s="383" t="s">
        <v>386</v>
      </c>
      <c r="O22" s="168" t="s">
        <v>387</v>
      </c>
      <c r="P22" s="168" t="s">
        <v>290</v>
      </c>
      <c r="Q22" s="168" t="s">
        <v>370</v>
      </c>
      <c r="S22" s="168" t="s">
        <v>371</v>
      </c>
      <c r="U22" s="168" t="s">
        <v>372</v>
      </c>
      <c r="X22" s="168" t="s">
        <v>388</v>
      </c>
      <c r="Y22" s="168" t="s">
        <v>389</v>
      </c>
      <c r="Z22" s="168" t="s">
        <v>390</v>
      </c>
      <c r="AA22" s="168" t="s">
        <v>391</v>
      </c>
      <c r="AB22" s="168" t="s">
        <v>392</v>
      </c>
      <c r="AC22" s="168" t="s">
        <v>393</v>
      </c>
    </row>
    <row r="23" spans="1:29" s="386" customFormat="1">
      <c r="A23" s="384" t="s">
        <v>404</v>
      </c>
      <c r="B23" s="385" t="str">
        <f>IF($C$21="","",申込書!$AH$2)</f>
        <v/>
      </c>
      <c r="C23" s="386" t="str">
        <f>IF($C$21="","",内訳書!$H$2&amp;"("&amp;D23&amp;")")</f>
        <v/>
      </c>
      <c r="D23" s="386" t="str">
        <f>IF(変更届!$AR$2="","",変更届!$AR$2)</f>
        <v/>
      </c>
      <c r="E23" s="386" t="str">
        <f>IF($C$21="","",申込書!$E$33)</f>
        <v/>
      </c>
      <c r="F23" s="386" t="str">
        <f>IF($C$21="","",変更届!$E$11)</f>
        <v/>
      </c>
      <c r="G23" s="386" t="str">
        <f>IF($C$21="","",VLOOKUP(申込書!$AM$34,$B$62:$C$69,2,TRUE))</f>
        <v/>
      </c>
      <c r="H23" s="387" t="str">
        <f>IF($C$21="","",MIN($H32:$H39))</f>
        <v/>
      </c>
      <c r="I23" s="387" t="str">
        <f>IF($C$21="","",MAX($H32:$H39))</f>
        <v/>
      </c>
      <c r="J23" s="386" t="str">
        <f>IF($C$21="","",VLOOKUP(判定表!$D$2,判定表!$B$3:$D$10,2,TRUE))</f>
        <v/>
      </c>
      <c r="K23" s="386" t="str">
        <f>IF($C$21="","",VLOOKUP(判定表!$G$2,判定表!$E$3:$G$8,2,TRUE))</f>
        <v/>
      </c>
      <c r="L23" s="388">
        <f t="shared" ref="L23:L27" si="32">$X23</f>
        <v>0</v>
      </c>
      <c r="M23" s="388" t="str">
        <f>$AA23</f>
        <v/>
      </c>
      <c r="N23" s="389">
        <f>申込書!$Y$49</f>
        <v>0</v>
      </c>
      <c r="O23" s="390">
        <f>付帯設備備品使用申込書!$AG$53</f>
        <v>0</v>
      </c>
      <c r="P23" s="386" t="e">
        <f>SUM(申込書!#REF!,申込書!#REF!)</f>
        <v>#REF!</v>
      </c>
      <c r="Q23" s="391" t="str">
        <f>変更届!$F$12</f>
        <v/>
      </c>
      <c r="R23" s="386" t="str">
        <f>変更届!$E$13</f>
        <v/>
      </c>
      <c r="S23" s="386" t="str">
        <f>変更届!$W$17</f>
        <v/>
      </c>
      <c r="T23" s="386" t="str">
        <f>変更届!$H$17</f>
        <v/>
      </c>
      <c r="U23" s="386" t="e">
        <f>IF(申込書!#REF!="",$Q23,申込書!#REF!)</f>
        <v>#REF!</v>
      </c>
      <c r="V23" s="386" t="e">
        <f>IF(申込書!#REF!="",R23,申込書!#REF!)</f>
        <v>#REF!</v>
      </c>
      <c r="W23" s="386" t="e">
        <f>IF(申込書!#REF!="",S23,申込書!#REF!)</f>
        <v>#REF!</v>
      </c>
      <c r="X23" s="388">
        <f>'内訳書 (変更）'!$H28</f>
        <v>0</v>
      </c>
      <c r="Y23" s="390"/>
      <c r="Z23" s="390"/>
      <c r="AA23" s="388" t="str">
        <f>'内訳書 (変更）'!$P$9</f>
        <v/>
      </c>
      <c r="AB23" s="390"/>
      <c r="AC23" s="390"/>
    </row>
    <row r="24" spans="1:29" s="394" customFormat="1" hidden="1" outlineLevel="1">
      <c r="A24" s="392" t="s">
        <v>5</v>
      </c>
      <c r="B24" s="393"/>
      <c r="H24" s="395" t="str">
        <f>IF(変更届!$A35="","",変更届!$A35)</f>
        <v/>
      </c>
      <c r="I24" s="394" t="str">
        <f>IF($H24="","",IF(COUNTIF($H$24:$H24,$H24)=1,RANK($H24,$H$24:$H$31,1),""))</f>
        <v/>
      </c>
      <c r="L24" s="396">
        <f t="shared" si="32"/>
        <v>0</v>
      </c>
      <c r="M24" s="396">
        <f>$AA24</f>
        <v>0</v>
      </c>
      <c r="N24" s="397"/>
      <c r="O24" s="398"/>
      <c r="Q24" s="399"/>
      <c r="X24" s="396">
        <f>'内訳書 (変更）'!$H9</f>
        <v>0</v>
      </c>
      <c r="Y24" s="398"/>
      <c r="Z24" s="398"/>
      <c r="AA24" s="396">
        <f>'内訳書 (変更）'!$Q$9</f>
        <v>0</v>
      </c>
      <c r="AB24" s="398"/>
      <c r="AC24" s="398"/>
    </row>
    <row r="25" spans="1:29" s="394" customFormat="1" hidden="1" outlineLevel="1">
      <c r="A25" s="392" t="s">
        <v>5</v>
      </c>
      <c r="B25" s="393"/>
      <c r="H25" s="395" t="str">
        <f>IF(変更届!$A37="","",変更届!$A37)</f>
        <v/>
      </c>
      <c r="I25" s="394" t="str">
        <f>IF($H25="","",IF(COUNTIF($H$24:$H25,$H25)=1,RANK($H25,$H$24:$H$31,1),""))</f>
        <v/>
      </c>
      <c r="L25" s="396">
        <f t="shared" si="32"/>
        <v>0</v>
      </c>
      <c r="M25" s="396">
        <f t="shared" ref="M25:M27" si="33">$AA25</f>
        <v>0</v>
      </c>
      <c r="N25" s="397"/>
      <c r="O25" s="398"/>
      <c r="Q25" s="399"/>
      <c r="X25" s="396">
        <f>'内訳書 (変更）'!$H11</f>
        <v>0</v>
      </c>
      <c r="Y25" s="398"/>
      <c r="Z25" s="398"/>
      <c r="AA25" s="396">
        <f>'内訳書 (変更）'!$Q$11</f>
        <v>0</v>
      </c>
      <c r="AB25" s="398"/>
      <c r="AC25" s="398"/>
    </row>
    <row r="26" spans="1:29" s="394" customFormat="1" hidden="1" outlineLevel="1">
      <c r="A26" s="392" t="s">
        <v>5</v>
      </c>
      <c r="B26" s="393"/>
      <c r="H26" s="395" t="str">
        <f>IF(変更届!$A39="","",変更届!$A39)</f>
        <v/>
      </c>
      <c r="I26" s="394" t="str">
        <f>IF($H26="","",IF(COUNTIF($H$24:$H26,$H26)=1,RANK($H26,$H$24:$H$31,1),""))</f>
        <v/>
      </c>
      <c r="L26" s="396">
        <f t="shared" si="32"/>
        <v>0</v>
      </c>
      <c r="M26" s="396">
        <f t="shared" si="33"/>
        <v>0</v>
      </c>
      <c r="N26" s="397"/>
      <c r="O26" s="398"/>
      <c r="Q26" s="399"/>
      <c r="X26" s="396">
        <f>'内訳書 (変更）'!$H13</f>
        <v>0</v>
      </c>
      <c r="Y26" s="398"/>
      <c r="Z26" s="398"/>
      <c r="AA26" s="396">
        <f>'内訳書 (変更）'!$Q$13</f>
        <v>0</v>
      </c>
      <c r="AB26" s="398"/>
      <c r="AC26" s="398"/>
    </row>
    <row r="27" spans="1:29" s="394" customFormat="1" hidden="1" outlineLevel="1">
      <c r="A27" s="392" t="s">
        <v>5</v>
      </c>
      <c r="B27" s="393"/>
      <c r="H27" s="395" t="str">
        <f>IF(変更届!$A41="","",変更届!$A41)</f>
        <v/>
      </c>
      <c r="I27" s="394" t="str">
        <f>IF($H27="","",IF(COUNTIF($H$24:$H27,$H27)=1,RANK($H27,$H$24:$H$31,1),""))</f>
        <v/>
      </c>
      <c r="L27" s="396">
        <f t="shared" si="32"/>
        <v>0</v>
      </c>
      <c r="M27" s="396">
        <f t="shared" si="33"/>
        <v>0</v>
      </c>
      <c r="N27" s="397"/>
      <c r="O27" s="398"/>
      <c r="Q27" s="399"/>
      <c r="X27" s="396">
        <f>'内訳書 (変更）'!$H15</f>
        <v>0</v>
      </c>
      <c r="Y27" s="398"/>
      <c r="Z27" s="398"/>
      <c r="AA27" s="396">
        <f>'内訳書 (変更）'!$Q$15</f>
        <v>0</v>
      </c>
      <c r="AB27" s="398"/>
      <c r="AC27" s="398"/>
    </row>
    <row r="28" spans="1:29" s="394" customFormat="1" hidden="1" outlineLevel="1">
      <c r="A28" s="392" t="s">
        <v>402</v>
      </c>
      <c r="B28" s="393"/>
      <c r="H28" s="395" t="str">
        <f>IF(変更届!$A47="","",変更届!$A47)</f>
        <v/>
      </c>
      <c r="I28" s="394" t="str">
        <f>IF($H28="","",IF(COUNTIF($H$24:$H28,$H28)=1,RANK($H28,$H$24:$H$31,1),""))</f>
        <v/>
      </c>
      <c r="L28" s="396">
        <f>SUM(Y28:Z28)</f>
        <v>0</v>
      </c>
      <c r="M28" s="396">
        <f>SUM(AB28:AC28)</f>
        <v>0</v>
      </c>
      <c r="N28" s="397"/>
      <c r="O28" s="398"/>
      <c r="Q28" s="399"/>
      <c r="X28" s="398"/>
      <c r="Y28" s="396">
        <f>'内訳書 (変更）'!$H$17</f>
        <v>0</v>
      </c>
      <c r="Z28" s="396">
        <f>'内訳書 (変更）'!$H$25</f>
        <v>0</v>
      </c>
      <c r="AA28" s="398"/>
      <c r="AB28" s="396">
        <f>'内訳書 (変更）'!$Q$17</f>
        <v>0</v>
      </c>
      <c r="AC28" s="396">
        <f>'内訳書 (変更）'!$Q$25</f>
        <v>0</v>
      </c>
    </row>
    <row r="29" spans="1:29" s="394" customFormat="1" hidden="1" outlineLevel="1">
      <c r="A29" s="392" t="s">
        <v>402</v>
      </c>
      <c r="B29" s="393"/>
      <c r="H29" s="395" t="str">
        <f>IF(変更届!$A49="","",変更届!$A49)</f>
        <v/>
      </c>
      <c r="I29" s="394" t="str">
        <f>IF($H29="","",IF(COUNTIF($H$24:$H29,$H29)=1,RANK($H29,$H$24:$H$31,1),""))</f>
        <v/>
      </c>
      <c r="L29" s="396">
        <f t="shared" ref="L29:L31" si="34">SUM(Y29:Z29)</f>
        <v>0</v>
      </c>
      <c r="M29" s="396">
        <f t="shared" ref="M29:M31" si="35">SUM(AB29:AC29)</f>
        <v>0</v>
      </c>
      <c r="N29" s="397"/>
      <c r="O29" s="398"/>
      <c r="Q29" s="399"/>
      <c r="X29" s="398"/>
      <c r="Y29" s="396">
        <f>'内訳書 (変更）'!$H$19</f>
        <v>0</v>
      </c>
      <c r="Z29" s="396">
        <f>'内訳書 (変更）'!$H$27</f>
        <v>0</v>
      </c>
      <c r="AA29" s="398"/>
      <c r="AB29" s="396">
        <f>'内訳書 (変更）'!$Q$19</f>
        <v>0</v>
      </c>
      <c r="AC29" s="396">
        <f>'内訳書 (変更）'!$Q$27</f>
        <v>0</v>
      </c>
    </row>
    <row r="30" spans="1:29" s="394" customFormat="1" hidden="1" outlineLevel="1">
      <c r="A30" s="392" t="s">
        <v>402</v>
      </c>
      <c r="B30" s="393"/>
      <c r="H30" s="395" t="str">
        <f>IF(変更届!$A51="","",変更届!$A51)</f>
        <v/>
      </c>
      <c r="I30" s="394" t="str">
        <f>IF($H30="","",IF(COUNTIF($H$24:$H30,$H30)=1,RANK($H30,$H$24:$H$31,1),""))</f>
        <v/>
      </c>
      <c r="L30" s="396">
        <f t="shared" si="34"/>
        <v>0</v>
      </c>
      <c r="M30" s="396">
        <f t="shared" si="35"/>
        <v>0</v>
      </c>
      <c r="N30" s="397"/>
      <c r="O30" s="398"/>
      <c r="Q30" s="399"/>
      <c r="X30" s="398"/>
      <c r="Y30" s="396">
        <f>'内訳書 (変更）'!$H$21</f>
        <v>0</v>
      </c>
      <c r="Z30" s="396">
        <f>'内訳書 (変更）'!$H$29</f>
        <v>0</v>
      </c>
      <c r="AA30" s="398"/>
      <c r="AB30" s="396">
        <f>'内訳書 (変更）'!$Q$21</f>
        <v>0</v>
      </c>
      <c r="AC30" s="396">
        <f>'内訳書 (変更）'!$Q$29</f>
        <v>0</v>
      </c>
    </row>
    <row r="31" spans="1:29" s="394" customFormat="1" hidden="1" outlineLevel="1">
      <c r="A31" s="392" t="s">
        <v>402</v>
      </c>
      <c r="B31" s="393"/>
      <c r="H31" s="395" t="str">
        <f>IF(変更届!$A53="","",変更届!$A53)</f>
        <v/>
      </c>
      <c r="I31" s="394" t="str">
        <f>IF($H31="","",IF(COUNTIF($H$24:$H31,$H31)=1,RANK($H31,$H$24:$H$31,1),""))</f>
        <v/>
      </c>
      <c r="L31" s="396">
        <f t="shared" si="34"/>
        <v>0</v>
      </c>
      <c r="M31" s="396">
        <f t="shared" si="35"/>
        <v>0</v>
      </c>
      <c r="N31" s="397"/>
      <c r="O31" s="398"/>
      <c r="Q31" s="399"/>
      <c r="X31" s="398"/>
      <c r="Y31" s="396">
        <f>'内訳書 (変更）'!$H$23</f>
        <v>0</v>
      </c>
      <c r="Z31" s="396">
        <f>'内訳書 (変更）'!$H$31</f>
        <v>0</v>
      </c>
      <c r="AA31" s="398"/>
      <c r="AB31" s="396">
        <f>'内訳書 (変更）'!$Q$23</f>
        <v>0</v>
      </c>
      <c r="AC31" s="396">
        <f>'内訳書 (変更）'!$Q$31</f>
        <v>0</v>
      </c>
    </row>
    <row r="32" spans="1:29" collapsed="1">
      <c r="A32" s="384" t="str">
        <f>IF($H32="","",$A$23)</f>
        <v/>
      </c>
      <c r="B32" s="377" t="str">
        <f>IF($H32="","",$B$23)</f>
        <v/>
      </c>
      <c r="C32" s="379" t="str">
        <f>IF($H32="","",$C$23)</f>
        <v/>
      </c>
      <c r="D32" s="379" t="str">
        <f>IF($H32="","",$D$23)</f>
        <v/>
      </c>
      <c r="E32" s="379" t="str">
        <f>IF($H32="","",$E$23)</f>
        <v/>
      </c>
      <c r="F32" s="379" t="str">
        <f>IF($H32="","",$F$23)</f>
        <v/>
      </c>
      <c r="G32" s="379" t="str">
        <f>IF($H32="","",$G$23)</f>
        <v/>
      </c>
      <c r="H32" s="400" t="str">
        <f>IFERROR(SMALL($H$24:$H$31,SMALL($I$24:$I$31,1)),"")</f>
        <v/>
      </c>
      <c r="I32" s="401" t="str">
        <f>IF(H32="","",VLOOKUP(WEEKDAY($H32,1),$D$62:$E$68,2,TRUE))</f>
        <v/>
      </c>
      <c r="J32" s="379" t="str">
        <f>IF($H32="","",$J$23)</f>
        <v/>
      </c>
      <c r="K32" s="379" t="str">
        <f>IF($H32="","",$K$23)</f>
        <v/>
      </c>
      <c r="L32" s="402" t="str">
        <f>IF($H32="","",SUM($X32:$Z32))</f>
        <v/>
      </c>
      <c r="M32" s="402" t="str">
        <f>IF($H32="","",SUM($AA32:$AC32))</f>
        <v/>
      </c>
      <c r="N32" s="379" t="str">
        <f>IF($H32="","",$N$23)</f>
        <v/>
      </c>
      <c r="O32" s="402" t="str">
        <f>IF($H32="","",$O$23)</f>
        <v/>
      </c>
      <c r="P32" s="379" t="str">
        <f>IF($H32="","",$P$23)</f>
        <v/>
      </c>
      <c r="Q32" s="379" t="str">
        <f>IF($H32="","",$Q$23)</f>
        <v/>
      </c>
      <c r="R32" s="379" t="str">
        <f>IF($H32="","",$R$23)</f>
        <v/>
      </c>
      <c r="S32" s="379" t="str">
        <f>IF($H32="","",$S$23)</f>
        <v/>
      </c>
      <c r="T32" s="379" t="str">
        <f>IF($H32="","",$T$23)</f>
        <v/>
      </c>
      <c r="U32" s="379" t="str">
        <f>IF($H32="","",$U$23)</f>
        <v/>
      </c>
      <c r="V32" s="379" t="str">
        <f>IF($H32="","",$V$23)</f>
        <v/>
      </c>
      <c r="W32" s="379" t="str">
        <f>IF($H32="","",$W$23)</f>
        <v/>
      </c>
      <c r="X32" s="402" t="str">
        <f t="shared" ref="X32:X39" si="36">IF(H32="","",SUMIF($H$24:$H$31,$H32,$X$24:$X$31))</f>
        <v/>
      </c>
      <c r="Y32" s="402" t="str">
        <f t="shared" ref="Y32:Y39" si="37">IF(H32="","",SUMIF($H$24:$H$31,$H32,$Y$24:$Y$31))</f>
        <v/>
      </c>
      <c r="Z32" s="402" t="str">
        <f t="shared" ref="Z32:Z39" si="38">IF(H32="","",SUMIF($H$24:$H$31,$H32,$Z$24:$Z$31))</f>
        <v/>
      </c>
      <c r="AA32" s="402" t="str">
        <f t="shared" ref="AA32:AA39" si="39">IF(H32="","",SUMIF($H$24:$H$31,$H32,$AA$24:$AA$31))</f>
        <v/>
      </c>
      <c r="AB32" s="402" t="str">
        <f t="shared" ref="AB32:AB39" si="40">IF(H32="","",SUMIF($H$24:$H$31,$H32,$AB$24:$AB$31))</f>
        <v/>
      </c>
      <c r="AC32" s="402" t="str">
        <f t="shared" ref="AC32:AC39" si="41">IF(H32="","",SUMIF($H$24:$H$31,$H32,$AC$24:$AC$31))</f>
        <v/>
      </c>
    </row>
    <row r="33" spans="1:29">
      <c r="A33" s="384" t="str">
        <f t="shared" ref="A33:A39" si="42">IF($H33="","",$A$23)</f>
        <v/>
      </c>
      <c r="B33" s="377" t="str">
        <f t="shared" ref="B33:B39" si="43">IF($H33="","",$B$23)</f>
        <v/>
      </c>
      <c r="C33" s="379" t="str">
        <f t="shared" ref="C33:C39" si="44">IF($H33="","",$C$23)</f>
        <v/>
      </c>
      <c r="D33" s="379" t="str">
        <f t="shared" ref="D33:D39" si="45">IF($H33="","",$D$23)</f>
        <v/>
      </c>
      <c r="E33" s="379" t="str">
        <f t="shared" ref="E33:E39" si="46">IF($H33="","",$E$23)</f>
        <v/>
      </c>
      <c r="F33" s="379" t="str">
        <f t="shared" ref="F33:F39" si="47">IF($H33="","",$F$23)</f>
        <v/>
      </c>
      <c r="G33" s="379" t="str">
        <f t="shared" ref="G33:G39" si="48">IF($H33="","",$G$23)</f>
        <v/>
      </c>
      <c r="H33" s="400" t="str">
        <f>IFERROR(SMALL($H$24:$H$31,SMALL($I$24:$I$31,2)),"")</f>
        <v/>
      </c>
      <c r="I33" s="401" t="str">
        <f t="shared" ref="I33:I39" si="49">IF(H33="","",VLOOKUP(WEEKDAY($H33,1),$D$62:$E$68,2,TRUE))</f>
        <v/>
      </c>
      <c r="J33" s="379" t="str">
        <f t="shared" ref="J33:J39" si="50">IF($H33="","",$J$23)</f>
        <v/>
      </c>
      <c r="K33" s="379" t="str">
        <f t="shared" ref="K33:K39" si="51">IF($H33="","",$K$23)</f>
        <v/>
      </c>
      <c r="L33" s="402" t="str">
        <f t="shared" ref="L33:L39" si="52">IF($H33="","",SUM($X33:$Z33))</f>
        <v/>
      </c>
      <c r="M33" s="402" t="str">
        <f t="shared" ref="M33:M39" si="53">IF($H33="","",SUM($AA33:$AC33))</f>
        <v/>
      </c>
      <c r="N33" s="379" t="str">
        <f t="shared" ref="N33:N39" si="54">IF($H33="","",$N$23)</f>
        <v/>
      </c>
      <c r="O33" s="402" t="str">
        <f t="shared" ref="O33:O39" si="55">IF($H33="","",$O$23)</f>
        <v/>
      </c>
      <c r="P33" s="379" t="str">
        <f t="shared" ref="P33:P39" si="56">IF($H33="","",$P$23)</f>
        <v/>
      </c>
      <c r="Q33" s="379" t="str">
        <f t="shared" ref="Q33:Q39" si="57">IF($H33="","",$Q$23)</f>
        <v/>
      </c>
      <c r="R33" s="379" t="str">
        <f t="shared" ref="R33:R39" si="58">IF($H33="","",$R$23)</f>
        <v/>
      </c>
      <c r="S33" s="379" t="str">
        <f t="shared" ref="S33:S39" si="59">IF($H33="","",$S$23)</f>
        <v/>
      </c>
      <c r="T33" s="379" t="str">
        <f t="shared" ref="T33:T39" si="60">IF($H33="","",$T$23)</f>
        <v/>
      </c>
      <c r="U33" s="379" t="str">
        <f t="shared" ref="U33:U39" si="61">IF($H33="","",$U$23)</f>
        <v/>
      </c>
      <c r="V33" s="379" t="str">
        <f t="shared" ref="V33:V39" si="62">IF($H33="","",$V$23)</f>
        <v/>
      </c>
      <c r="W33" s="379" t="str">
        <f t="shared" ref="W33:W39" si="63">IF($H33="","",$W$23)</f>
        <v/>
      </c>
      <c r="X33" s="402" t="str">
        <f t="shared" si="36"/>
        <v/>
      </c>
      <c r="Y33" s="402" t="str">
        <f t="shared" si="37"/>
        <v/>
      </c>
      <c r="Z33" s="402" t="str">
        <f t="shared" si="38"/>
        <v/>
      </c>
      <c r="AA33" s="402" t="str">
        <f t="shared" si="39"/>
        <v/>
      </c>
      <c r="AB33" s="402" t="str">
        <f t="shared" si="40"/>
        <v/>
      </c>
      <c r="AC33" s="402" t="str">
        <f t="shared" si="41"/>
        <v/>
      </c>
    </row>
    <row r="34" spans="1:29">
      <c r="A34" s="384" t="str">
        <f t="shared" si="42"/>
        <v/>
      </c>
      <c r="B34" s="377" t="str">
        <f t="shared" si="43"/>
        <v/>
      </c>
      <c r="C34" s="379" t="str">
        <f t="shared" si="44"/>
        <v/>
      </c>
      <c r="D34" s="379" t="str">
        <f t="shared" si="45"/>
        <v/>
      </c>
      <c r="E34" s="379" t="str">
        <f t="shared" si="46"/>
        <v/>
      </c>
      <c r="F34" s="379" t="str">
        <f t="shared" si="47"/>
        <v/>
      </c>
      <c r="G34" s="379" t="str">
        <f t="shared" si="48"/>
        <v/>
      </c>
      <c r="H34" s="400" t="str">
        <f>IFERROR(SMALL($H$24:$H$31,SMALL($I$24:$I$31,3)),"")</f>
        <v/>
      </c>
      <c r="I34" s="401" t="str">
        <f t="shared" si="49"/>
        <v/>
      </c>
      <c r="J34" s="379" t="str">
        <f t="shared" si="50"/>
        <v/>
      </c>
      <c r="K34" s="379" t="str">
        <f t="shared" si="51"/>
        <v/>
      </c>
      <c r="L34" s="402" t="str">
        <f t="shared" si="52"/>
        <v/>
      </c>
      <c r="M34" s="402" t="str">
        <f t="shared" si="53"/>
        <v/>
      </c>
      <c r="N34" s="379" t="str">
        <f t="shared" si="54"/>
        <v/>
      </c>
      <c r="O34" s="402" t="str">
        <f t="shared" si="55"/>
        <v/>
      </c>
      <c r="P34" s="379" t="str">
        <f t="shared" si="56"/>
        <v/>
      </c>
      <c r="Q34" s="379" t="str">
        <f t="shared" si="57"/>
        <v/>
      </c>
      <c r="R34" s="379" t="str">
        <f t="shared" si="58"/>
        <v/>
      </c>
      <c r="S34" s="379" t="str">
        <f t="shared" si="59"/>
        <v/>
      </c>
      <c r="T34" s="379" t="str">
        <f t="shared" si="60"/>
        <v/>
      </c>
      <c r="U34" s="379" t="str">
        <f t="shared" si="61"/>
        <v/>
      </c>
      <c r="V34" s="379" t="str">
        <f t="shared" si="62"/>
        <v/>
      </c>
      <c r="W34" s="379" t="str">
        <f t="shared" si="63"/>
        <v/>
      </c>
      <c r="X34" s="402" t="str">
        <f t="shared" si="36"/>
        <v/>
      </c>
      <c r="Y34" s="402" t="str">
        <f t="shared" si="37"/>
        <v/>
      </c>
      <c r="Z34" s="402" t="str">
        <f t="shared" si="38"/>
        <v/>
      </c>
      <c r="AA34" s="402" t="str">
        <f t="shared" si="39"/>
        <v/>
      </c>
      <c r="AB34" s="402" t="str">
        <f t="shared" si="40"/>
        <v/>
      </c>
      <c r="AC34" s="402" t="str">
        <f t="shared" si="41"/>
        <v/>
      </c>
    </row>
    <row r="35" spans="1:29">
      <c r="A35" s="384" t="str">
        <f t="shared" si="42"/>
        <v/>
      </c>
      <c r="B35" s="377" t="str">
        <f t="shared" si="43"/>
        <v/>
      </c>
      <c r="C35" s="379" t="str">
        <f t="shared" si="44"/>
        <v/>
      </c>
      <c r="D35" s="379" t="str">
        <f t="shared" si="45"/>
        <v/>
      </c>
      <c r="E35" s="379" t="str">
        <f t="shared" si="46"/>
        <v/>
      </c>
      <c r="F35" s="379" t="str">
        <f t="shared" si="47"/>
        <v/>
      </c>
      <c r="G35" s="379" t="str">
        <f t="shared" si="48"/>
        <v/>
      </c>
      <c r="H35" s="400" t="str">
        <f>IFERROR(SMALL($H$24:$H$31,SMALL($I$24:$I$31,4)),"")</f>
        <v/>
      </c>
      <c r="I35" s="401" t="str">
        <f t="shared" si="49"/>
        <v/>
      </c>
      <c r="J35" s="379" t="str">
        <f t="shared" si="50"/>
        <v/>
      </c>
      <c r="K35" s="379" t="str">
        <f t="shared" si="51"/>
        <v/>
      </c>
      <c r="L35" s="402" t="str">
        <f t="shared" si="52"/>
        <v/>
      </c>
      <c r="M35" s="402" t="str">
        <f t="shared" si="53"/>
        <v/>
      </c>
      <c r="N35" s="379" t="str">
        <f t="shared" si="54"/>
        <v/>
      </c>
      <c r="O35" s="402" t="str">
        <f t="shared" si="55"/>
        <v/>
      </c>
      <c r="P35" s="379" t="str">
        <f t="shared" si="56"/>
        <v/>
      </c>
      <c r="Q35" s="379" t="str">
        <f t="shared" si="57"/>
        <v/>
      </c>
      <c r="R35" s="379" t="str">
        <f t="shared" si="58"/>
        <v/>
      </c>
      <c r="S35" s="379" t="str">
        <f t="shared" si="59"/>
        <v/>
      </c>
      <c r="T35" s="379" t="str">
        <f t="shared" si="60"/>
        <v/>
      </c>
      <c r="U35" s="379" t="str">
        <f t="shared" si="61"/>
        <v/>
      </c>
      <c r="V35" s="379" t="str">
        <f t="shared" si="62"/>
        <v/>
      </c>
      <c r="W35" s="379" t="str">
        <f t="shared" si="63"/>
        <v/>
      </c>
      <c r="X35" s="402" t="str">
        <f t="shared" si="36"/>
        <v/>
      </c>
      <c r="Y35" s="402" t="str">
        <f t="shared" si="37"/>
        <v/>
      </c>
      <c r="Z35" s="402" t="str">
        <f t="shared" si="38"/>
        <v/>
      </c>
      <c r="AA35" s="402" t="str">
        <f t="shared" si="39"/>
        <v/>
      </c>
      <c r="AB35" s="402" t="str">
        <f t="shared" si="40"/>
        <v/>
      </c>
      <c r="AC35" s="402" t="str">
        <f t="shared" si="41"/>
        <v/>
      </c>
    </row>
    <row r="36" spans="1:29">
      <c r="A36" s="384" t="str">
        <f t="shared" si="42"/>
        <v/>
      </c>
      <c r="B36" s="377" t="str">
        <f t="shared" si="43"/>
        <v/>
      </c>
      <c r="C36" s="379" t="str">
        <f t="shared" si="44"/>
        <v/>
      </c>
      <c r="D36" s="379" t="str">
        <f t="shared" si="45"/>
        <v/>
      </c>
      <c r="E36" s="379" t="str">
        <f t="shared" si="46"/>
        <v/>
      </c>
      <c r="F36" s="379" t="str">
        <f t="shared" si="47"/>
        <v/>
      </c>
      <c r="G36" s="379" t="str">
        <f t="shared" si="48"/>
        <v/>
      </c>
      <c r="H36" s="400" t="str">
        <f>IFERROR(SMALL($H$24:$H$31,SMALL($I$24:$I$31,5)),"")</f>
        <v/>
      </c>
      <c r="I36" s="401" t="str">
        <f t="shared" si="49"/>
        <v/>
      </c>
      <c r="J36" s="379" t="str">
        <f t="shared" si="50"/>
        <v/>
      </c>
      <c r="K36" s="379" t="str">
        <f t="shared" si="51"/>
        <v/>
      </c>
      <c r="L36" s="402" t="str">
        <f t="shared" si="52"/>
        <v/>
      </c>
      <c r="M36" s="402" t="str">
        <f t="shared" si="53"/>
        <v/>
      </c>
      <c r="N36" s="379" t="str">
        <f t="shared" si="54"/>
        <v/>
      </c>
      <c r="O36" s="402" t="str">
        <f t="shared" si="55"/>
        <v/>
      </c>
      <c r="P36" s="379" t="str">
        <f t="shared" si="56"/>
        <v/>
      </c>
      <c r="Q36" s="379" t="str">
        <f t="shared" si="57"/>
        <v/>
      </c>
      <c r="R36" s="379" t="str">
        <f t="shared" si="58"/>
        <v/>
      </c>
      <c r="S36" s="379" t="str">
        <f t="shared" si="59"/>
        <v/>
      </c>
      <c r="T36" s="379" t="str">
        <f t="shared" si="60"/>
        <v/>
      </c>
      <c r="U36" s="379" t="str">
        <f t="shared" si="61"/>
        <v/>
      </c>
      <c r="V36" s="379" t="str">
        <f t="shared" si="62"/>
        <v/>
      </c>
      <c r="W36" s="379" t="str">
        <f t="shared" si="63"/>
        <v/>
      </c>
      <c r="X36" s="402" t="str">
        <f t="shared" si="36"/>
        <v/>
      </c>
      <c r="Y36" s="402" t="str">
        <f t="shared" si="37"/>
        <v/>
      </c>
      <c r="Z36" s="402" t="str">
        <f t="shared" si="38"/>
        <v/>
      </c>
      <c r="AA36" s="402" t="str">
        <f t="shared" si="39"/>
        <v/>
      </c>
      <c r="AB36" s="402" t="str">
        <f t="shared" si="40"/>
        <v/>
      </c>
      <c r="AC36" s="402" t="str">
        <f t="shared" si="41"/>
        <v/>
      </c>
    </row>
    <row r="37" spans="1:29">
      <c r="A37" s="384" t="str">
        <f t="shared" si="42"/>
        <v/>
      </c>
      <c r="B37" s="377" t="str">
        <f t="shared" si="43"/>
        <v/>
      </c>
      <c r="C37" s="379" t="str">
        <f t="shared" si="44"/>
        <v/>
      </c>
      <c r="D37" s="379" t="str">
        <f t="shared" si="45"/>
        <v/>
      </c>
      <c r="E37" s="379" t="str">
        <f t="shared" si="46"/>
        <v/>
      </c>
      <c r="F37" s="379" t="str">
        <f t="shared" si="47"/>
        <v/>
      </c>
      <c r="G37" s="379" t="str">
        <f t="shared" si="48"/>
        <v/>
      </c>
      <c r="H37" s="400" t="str">
        <f>IFERROR(SMALL($H$24:$H$31,SMALL($I$24:$I$31,6)),"")</f>
        <v/>
      </c>
      <c r="I37" s="401" t="str">
        <f t="shared" si="49"/>
        <v/>
      </c>
      <c r="J37" s="379" t="str">
        <f t="shared" si="50"/>
        <v/>
      </c>
      <c r="K37" s="379" t="str">
        <f t="shared" si="51"/>
        <v/>
      </c>
      <c r="L37" s="379" t="str">
        <f t="shared" si="52"/>
        <v/>
      </c>
      <c r="M37" s="379" t="str">
        <f t="shared" si="53"/>
        <v/>
      </c>
      <c r="N37" s="379" t="str">
        <f t="shared" si="54"/>
        <v/>
      </c>
      <c r="O37" s="402" t="str">
        <f t="shared" si="55"/>
        <v/>
      </c>
      <c r="P37" s="379" t="str">
        <f t="shared" si="56"/>
        <v/>
      </c>
      <c r="Q37" s="379" t="str">
        <f t="shared" si="57"/>
        <v/>
      </c>
      <c r="R37" s="379" t="str">
        <f t="shared" si="58"/>
        <v/>
      </c>
      <c r="S37" s="379" t="str">
        <f t="shared" si="59"/>
        <v/>
      </c>
      <c r="T37" s="379" t="str">
        <f t="shared" si="60"/>
        <v/>
      </c>
      <c r="U37" s="379" t="str">
        <f t="shared" si="61"/>
        <v/>
      </c>
      <c r="V37" s="379" t="str">
        <f t="shared" si="62"/>
        <v/>
      </c>
      <c r="W37" s="379" t="str">
        <f t="shared" si="63"/>
        <v/>
      </c>
      <c r="X37" s="379" t="str">
        <f t="shared" si="36"/>
        <v/>
      </c>
      <c r="Y37" s="379" t="str">
        <f t="shared" si="37"/>
        <v/>
      </c>
      <c r="Z37" s="379" t="str">
        <f t="shared" si="38"/>
        <v/>
      </c>
      <c r="AA37" s="379" t="str">
        <f t="shared" si="39"/>
        <v/>
      </c>
      <c r="AB37" s="379" t="str">
        <f t="shared" si="40"/>
        <v/>
      </c>
      <c r="AC37" s="379" t="str">
        <f t="shared" si="41"/>
        <v/>
      </c>
    </row>
    <row r="38" spans="1:29">
      <c r="A38" s="384" t="str">
        <f t="shared" si="42"/>
        <v/>
      </c>
      <c r="B38" s="377" t="str">
        <f t="shared" si="43"/>
        <v/>
      </c>
      <c r="C38" s="379" t="str">
        <f t="shared" si="44"/>
        <v/>
      </c>
      <c r="D38" s="379" t="str">
        <f t="shared" si="45"/>
        <v/>
      </c>
      <c r="E38" s="379" t="str">
        <f t="shared" si="46"/>
        <v/>
      </c>
      <c r="F38" s="379" t="str">
        <f t="shared" si="47"/>
        <v/>
      </c>
      <c r="G38" s="379" t="str">
        <f t="shared" si="48"/>
        <v/>
      </c>
      <c r="H38" s="400" t="str">
        <f>IFERROR(SMALL($H$24:$H$31,SMALL($I$24:$I$31,7)),"")</f>
        <v/>
      </c>
      <c r="I38" s="401" t="str">
        <f t="shared" si="49"/>
        <v/>
      </c>
      <c r="J38" s="379" t="str">
        <f t="shared" si="50"/>
        <v/>
      </c>
      <c r="K38" s="379" t="str">
        <f t="shared" si="51"/>
        <v/>
      </c>
      <c r="L38" s="379" t="str">
        <f t="shared" si="52"/>
        <v/>
      </c>
      <c r="M38" s="379" t="str">
        <f t="shared" si="53"/>
        <v/>
      </c>
      <c r="N38" s="379" t="str">
        <f t="shared" si="54"/>
        <v/>
      </c>
      <c r="O38" s="402" t="str">
        <f t="shared" si="55"/>
        <v/>
      </c>
      <c r="P38" s="379" t="str">
        <f t="shared" si="56"/>
        <v/>
      </c>
      <c r="Q38" s="379" t="str">
        <f t="shared" si="57"/>
        <v/>
      </c>
      <c r="R38" s="379" t="str">
        <f t="shared" si="58"/>
        <v/>
      </c>
      <c r="S38" s="379" t="str">
        <f t="shared" si="59"/>
        <v/>
      </c>
      <c r="T38" s="379" t="str">
        <f t="shared" si="60"/>
        <v/>
      </c>
      <c r="U38" s="379" t="str">
        <f t="shared" si="61"/>
        <v/>
      </c>
      <c r="V38" s="379" t="str">
        <f t="shared" si="62"/>
        <v/>
      </c>
      <c r="W38" s="379" t="str">
        <f t="shared" si="63"/>
        <v/>
      </c>
      <c r="X38" s="379" t="str">
        <f t="shared" si="36"/>
        <v/>
      </c>
      <c r="Y38" s="379" t="str">
        <f t="shared" si="37"/>
        <v/>
      </c>
      <c r="Z38" s="379" t="str">
        <f t="shared" si="38"/>
        <v/>
      </c>
      <c r="AA38" s="379" t="str">
        <f t="shared" si="39"/>
        <v/>
      </c>
      <c r="AB38" s="379" t="str">
        <f t="shared" si="40"/>
        <v/>
      </c>
      <c r="AC38" s="379" t="str">
        <f t="shared" si="41"/>
        <v/>
      </c>
    </row>
    <row r="39" spans="1:29">
      <c r="A39" s="384" t="str">
        <f t="shared" si="42"/>
        <v/>
      </c>
      <c r="B39" s="377" t="str">
        <f t="shared" si="43"/>
        <v/>
      </c>
      <c r="C39" s="379" t="str">
        <f t="shared" si="44"/>
        <v/>
      </c>
      <c r="D39" s="379" t="str">
        <f t="shared" si="45"/>
        <v/>
      </c>
      <c r="E39" s="379" t="str">
        <f t="shared" si="46"/>
        <v/>
      </c>
      <c r="F39" s="379" t="str">
        <f t="shared" si="47"/>
        <v/>
      </c>
      <c r="G39" s="379" t="str">
        <f t="shared" si="48"/>
        <v/>
      </c>
      <c r="H39" s="400" t="str">
        <f>IFERROR(SMALL($H$24:$H$31,SMALL($I$24:$I$31,8)),"")</f>
        <v/>
      </c>
      <c r="I39" s="401" t="str">
        <f t="shared" si="49"/>
        <v/>
      </c>
      <c r="J39" s="379" t="str">
        <f t="shared" si="50"/>
        <v/>
      </c>
      <c r="K39" s="379" t="str">
        <f t="shared" si="51"/>
        <v/>
      </c>
      <c r="L39" s="379" t="str">
        <f t="shared" si="52"/>
        <v/>
      </c>
      <c r="M39" s="379" t="str">
        <f t="shared" si="53"/>
        <v/>
      </c>
      <c r="N39" s="379" t="str">
        <f t="shared" si="54"/>
        <v/>
      </c>
      <c r="O39" s="402" t="str">
        <f t="shared" si="55"/>
        <v/>
      </c>
      <c r="P39" s="379" t="str">
        <f t="shared" si="56"/>
        <v/>
      </c>
      <c r="Q39" s="379" t="str">
        <f t="shared" si="57"/>
        <v/>
      </c>
      <c r="R39" s="379" t="str">
        <f t="shared" si="58"/>
        <v/>
      </c>
      <c r="S39" s="379" t="str">
        <f t="shared" si="59"/>
        <v/>
      </c>
      <c r="T39" s="379" t="str">
        <f t="shared" si="60"/>
        <v/>
      </c>
      <c r="U39" s="379" t="str">
        <f t="shared" si="61"/>
        <v/>
      </c>
      <c r="V39" s="379" t="str">
        <f t="shared" si="62"/>
        <v/>
      </c>
      <c r="W39" s="379" t="str">
        <f t="shared" si="63"/>
        <v/>
      </c>
      <c r="X39" s="379" t="str">
        <f t="shared" si="36"/>
        <v/>
      </c>
      <c r="Y39" s="379" t="str">
        <f t="shared" si="37"/>
        <v/>
      </c>
      <c r="Z39" s="379" t="str">
        <f t="shared" si="38"/>
        <v/>
      </c>
      <c r="AA39" s="379" t="str">
        <f t="shared" si="39"/>
        <v/>
      </c>
      <c r="AB39" s="379" t="str">
        <f t="shared" si="40"/>
        <v/>
      </c>
      <c r="AC39" s="379" t="str">
        <f t="shared" si="41"/>
        <v/>
      </c>
    </row>
    <row r="40" spans="1:29" s="403" customFormat="1" ht="1.9" customHeight="1">
      <c r="B40" s="404"/>
      <c r="U40" s="403" t="str">
        <f>IF($H40="","",IF(申込書!#REF!="",Q40,申込書!#REF!))</f>
        <v/>
      </c>
      <c r="V40" s="403" t="str">
        <f>IF($H40="","",IF(申込書!#REF!="",R40,申込書!#REF!))</f>
        <v/>
      </c>
      <c r="W40" s="403" t="str">
        <f>IF($H40="","",IF(申込書!#REF!="",T40,申込書!#REF!))</f>
        <v/>
      </c>
    </row>
    <row r="43" spans="1:29">
      <c r="C43" s="406"/>
      <c r="D43" s="379" t="s">
        <v>184</v>
      </c>
    </row>
    <row r="44" spans="1:29">
      <c r="C44" s="379" t="s">
        <v>193</v>
      </c>
    </row>
    <row r="47" spans="1:29">
      <c r="B47" s="377" t="s">
        <v>265</v>
      </c>
    </row>
    <row r="48" spans="1:29">
      <c r="B48" s="990" t="str">
        <f>IF(A50="新規","番号",IF(A50="変更","催事番号",""))</f>
        <v>番号</v>
      </c>
      <c r="C48" s="168" t="s">
        <v>263</v>
      </c>
      <c r="D48" s="379" t="s">
        <v>266</v>
      </c>
      <c r="E48" s="379" t="s">
        <v>268</v>
      </c>
      <c r="F48" s="379" t="s">
        <v>269</v>
      </c>
      <c r="G48" s="379" t="s">
        <v>5</v>
      </c>
      <c r="H48" s="379" t="s">
        <v>251</v>
      </c>
      <c r="I48" s="379" t="s">
        <v>6</v>
      </c>
    </row>
    <row r="49" spans="1:9">
      <c r="B49" s="990"/>
      <c r="C49" s="379" t="s">
        <v>264</v>
      </c>
      <c r="D49" s="378" t="s">
        <v>267</v>
      </c>
      <c r="E49" s="379" t="s">
        <v>175</v>
      </c>
      <c r="F49" s="379" t="s">
        <v>176</v>
      </c>
      <c r="G49" s="407" t="s">
        <v>270</v>
      </c>
      <c r="H49" s="407"/>
      <c r="I49" s="407"/>
    </row>
    <row r="50" spans="1:9">
      <c r="A50" s="991" t="str">
        <f>IF(変更届!$X$2="","新規","変更")</f>
        <v>新規</v>
      </c>
      <c r="B50" s="992">
        <f>B3</f>
        <v>0</v>
      </c>
      <c r="C50" s="423">
        <f>IF($H$23="",$H$3,$H$23)</f>
        <v>0</v>
      </c>
      <c r="D50" s="413">
        <f>IF($E$23="",$E$3,$E$23)</f>
        <v>0</v>
      </c>
      <c r="E50" s="413">
        <f>申込書!H25</f>
        <v>0</v>
      </c>
      <c r="F50" s="413">
        <f>申込書!W25</f>
        <v>0</v>
      </c>
      <c r="G50" s="409" t="str">
        <f>IF(AND(変更届!X2="",OR(申込書!A64&lt;&gt;"",申込書!A66&lt;&gt;"",申込書!A68&lt;&gt;"",申込書!A70&lt;&gt;"")),"○",IF(AND(変更届!X2&lt;&gt;"",OR(変更届!A35&lt;&gt;"",変更届!A37&lt;&gt;"",変更届!A39&lt;&gt;"",変更届!A41&lt;&gt;"")),"○",""))</f>
        <v/>
      </c>
      <c r="H50" s="409" t="str">
        <f>IF(AND(変更届!X2="",OR(申込書!H76="会議室１",申込書!H76="会議室２",申込書!H76="会議室３",申込書!H76="会議室１・２",申込書!H76="会議室１・３",申込書!H76="会議室２・３",申込書!H76="会議室１・２・３",申込書!H78="会議室１",申込書!H78="会議室２",申込書!H78="会議室３",申込書!H78="会議室１・２",申込書!H78="会議室１・３",申込書!H78="会議室２・３",申込書!H78="会議室１・２・３",申込書!H80="会議室１",申込書!H80="会議室２",申込書!H80="会議室３",申込書!H80="会議室１・２",申込書!H80="会議室１・３",申込書!H80="会議室２・３",申込書!H80="会議室１・２・３",申込書!H82="会議室１",申込書!H82="会議室２",申込書!H82="会議室３",申込書!H82="会議室１・２",申込書!H82="会議室１・３",申込書!H82="会議室２・３",申込書!H82="会議室１・２・３",申込書!N76="会議室１",申込書!N76="会議室２",申込書!N76="会議室３",申込書!N76="会議室１・２",申込書!N76="会議室１・３",申込書!N76="会議室２・３",申込書!N76="会議室１・２・３",申込書!N78="会議室１",申込書!N78="会議室２",申込書!N78="会議室３",申込書!N78="会議室１・２",申込書!N78="会議室１・３",申込書!N78="会議室２・３",申込書!N78="会議室１・２・３",申込書!N80="会議室１",申込書!N80="会議室２",申込書!N80="会議室３",申込書!N80="会議室１・２",申込書!N80="会議室１・３",申込書!N80="会議室２・３",申込書!N80="会議室１・２・３",申込書!N82="会議室１",申込書!N82="会議室２",申込書!N82="会議室３",申込書!N82="会議室１・２",申込書!N82="会議室１・３",申込書!N82="会議室２・３",申込書!N82="会議室１・２・３",申込書!T76="会議室１",申込書!T76="会議室２",申込書!T76="会議室３",申込書!T76="会議室１・２",申込書!T76="会議室１・３",申込書!T76="会議室２・３",申込書!T76="会議室１・２・３",申込書!T78="会議室１",申込書!T78="会議室２",申込書!T78="会議室３",申込書!T78="会議室１・２",申込書!T78="会議室１・３",申込書!T78="会議室２・３",申込書!T78="会議室１・２・３",申込書!T80="会議室１",申込書!T80="会議室２",申込書!T80="会議室３",申込書!T80="会議室１・２",申込書!T80="会議室１・３",申込書!T80="会議室２・３",申込書!T80="会議室１・２・３",申込書!T82="会議室１",申込書!T82="会議室２",申込書!T82="会議室３",申込書!T82="会議室１・２",申込書!T82="会議室１・３",申込書!T82="会議室２・３",申込書!T82="会議室１・２・３")),"○",IF(AND(変更届!X2&lt;&gt;"",OR(変更届!H47="会議室１",変更届!H47="会議室２",変更届!H47="会議室３",変更届!H47="会議室１・２",変更届!H47="会議室１・３",変更届!H47="会議室２・３",変更届!H47="会議室１・２・３",変更届!H49="会議室１",変更届!H49="会議室２",変更届!H49="会議室３",変更届!H49="会議室１・２",変更届!H49="会議室１・３",変更届!H49="会議室２・３",変更届!H49="会議室１・２・３",変更届!H51="会議室１",変更届!H51="会議室２",変更届!H51="会議室３",変更届!H51="会議室１・２",変更届!H51="会議室１・３",変更届!H51="会議室２・３",変更届!H51="会議室１・２・３",変更届!H53="会議室１",変更届!H53="会議室２",変更届!H53="会議室３",変更届!H53="会議室１・２",変更届!H53="会議室１・３",変更届!H53="会議室２・３",変更届!H53="会議室１・２・３",変更届!N47="会議室１",変更届!N47="会議室２",変更届!N47="会議室３",変更届!N47="会議室１・２",変更届!N47="会議室１・３",変更届!N47="会議室２・３",変更届!N47="会議室１・２・３",変更届!N49="会議室１",変更届!N49="会議室２",変更届!N49="会議室３",変更届!N49="会議室１・２",変更届!N49="会議室１・３",変更届!N49="会議室２・３",変更届!N49="会議室１・２・３",変更届!N51="会議室１",変更届!N51="会議室２",変更届!N51="会議室３",変更届!N51="会議室１・２",変更届!N51="会議室１・３",変更届!N51="会議室２・３",変更届!N51="会議室１・２・３",変更届!N53="会議室１",変更届!N53="会議室２",変更届!N53="会議室３",変更届!N53="会議室１・２",変更届!N53="会議室１・３",変更届!N53="会議室２・３",変更届!N53="会議室１・２・３",変更届!T47="会議室１",変更届!T47="会議室２",変更届!T47="会議室３",変更届!T47="会議室１・２",変更届!T47="会議室１・３",変更届!T47="会議室２・３",変更届!T47="会議室１・２・３",変更届!T49="会議室１",変更届!T49="会議室２",変更届!T49="会議室３",変更届!T49="会議室１・２",変更届!T49="会議室１・３",変更届!T49="会議室２・３",変更届!T49="会議室１・２・３",変更届!T51="会議室１",変更届!T51="会議室２",変更届!T51="会議室３",変更届!T51="会議室１・２",変更届!T51="会議室１・３",変更届!T51="会議室２・３",変更届!T51="会議室１・２・３",変更届!T53="会議室１",変更届!T53="会議室２",変更届!T53="会議室３",変更届!T53="会議室１・２",変更届!T53="会議室１・３",変更届!T53="会議室２・３",変更届!T53="会議室１・２・３")),"○",""))</f>
        <v/>
      </c>
      <c r="I50" s="409" t="str">
        <f>IF(AND(変更届!X2="",OR(申込書!AL78=TRUE,申込書!AM78=TRUE,申込書!AN78=TRUE,申込書!AL80=TRUE,申込書!AM80=TRUE,申込書!AN80=TRUE,申込書!AL82=TRUE,申込書!AM82=TRUE,申込書!AN82=TRUE,申込書!AL84=TRUE,申込書!AM84=TRUE,申込書!AN84=TRUE)),"○",IF(AND(変更届!X2&lt;&gt;"",OR(変更届!AK48=TRUE,変更届!AL48=TRUE,変更届!AM48=TRUE,変更届!AO48=TRUE,変更届!AK50=TRUE,変更届!AL50=TRUE,変更届!AM50=TRUE,変更届!AO50=TRUE,変更届!AK52=TRUE,変更届!AL52=TRUE,変更届!AM52=TRUE,変更届!AO52=TRUE,変更届!AK54=TRUE,変更届!AL54=TRUE,変更届!AM54=TRUE,変更届!AO54=TRUE)),"○",""))</f>
        <v/>
      </c>
    </row>
    <row r="51" spans="1:9">
      <c r="A51" s="991"/>
      <c r="B51" s="992"/>
      <c r="C51" s="423">
        <f>IF($I$23="",$I$3,$I$23)</f>
        <v>0</v>
      </c>
      <c r="D51" s="413">
        <f>IF($F$23="",$F$3,$F$23)</f>
        <v>0</v>
      </c>
      <c r="E51" s="408" t="e">
        <f>IF($J$23="",$J$3,$J$23)</f>
        <v>#N/A</v>
      </c>
      <c r="F51" s="408" t="e">
        <f>IF($K$23="",$K$3,$K$23)</f>
        <v>#N/A</v>
      </c>
      <c r="G51" s="410" t="str">
        <f>IF(G54=1,"会議室１室使用",IF(G54=2,"会議室２室使用",IF(G54=3,"会議室３室使用","")))</f>
        <v/>
      </c>
      <c r="H51" s="410"/>
      <c r="I51" s="410"/>
    </row>
    <row r="52" spans="1:9">
      <c r="C52" s="378"/>
    </row>
    <row r="54" spans="1:9">
      <c r="C54" s="411" t="s">
        <v>407</v>
      </c>
      <c r="D54" s="379" t="str">
        <f>IF(SUM(申込書!AL65,申込書!AL67,申込書!AL69,申込書!AL71,申込書!AL77,申込書!AL79,申込書!AL81,申込書!AL83)&gt;=1,"あり","なし")</f>
        <v>なし</v>
      </c>
      <c r="F54" s="411" t="s">
        <v>292</v>
      </c>
      <c r="G54" s="412">
        <f>IF(AND(A50="新規",H50="○"),判定表!G44,IF(AND(A50="変更",H50="○"),'判定表（変更）'!G44,))</f>
        <v>0</v>
      </c>
    </row>
    <row r="62" spans="1:9">
      <c r="B62" s="379">
        <v>1</v>
      </c>
      <c r="C62" s="379" t="s">
        <v>35</v>
      </c>
      <c r="D62" s="379">
        <v>1</v>
      </c>
      <c r="E62" s="379" t="s">
        <v>394</v>
      </c>
    </row>
    <row r="63" spans="1:9">
      <c r="B63" s="379">
        <v>2</v>
      </c>
      <c r="C63" s="379" t="s">
        <v>36</v>
      </c>
      <c r="D63" s="379">
        <v>2</v>
      </c>
      <c r="E63" s="379" t="s">
        <v>395</v>
      </c>
    </row>
    <row r="64" spans="1:9">
      <c r="B64" s="379">
        <v>3</v>
      </c>
      <c r="C64" s="379" t="s">
        <v>38</v>
      </c>
      <c r="D64" s="379">
        <v>3</v>
      </c>
      <c r="E64" s="379" t="s">
        <v>396</v>
      </c>
    </row>
    <row r="65" spans="2:5">
      <c r="B65" s="379">
        <v>4</v>
      </c>
      <c r="C65" s="379" t="s">
        <v>37</v>
      </c>
      <c r="D65" s="379">
        <v>4</v>
      </c>
      <c r="E65" s="379" t="s">
        <v>397</v>
      </c>
    </row>
    <row r="66" spans="2:5">
      <c r="B66" s="379">
        <v>5</v>
      </c>
      <c r="C66" s="379" t="s">
        <v>39</v>
      </c>
      <c r="D66" s="379">
        <v>5</v>
      </c>
      <c r="E66" s="379" t="s">
        <v>398</v>
      </c>
    </row>
    <row r="67" spans="2:5">
      <c r="B67" s="379">
        <v>6</v>
      </c>
      <c r="C67" s="379" t="s">
        <v>40</v>
      </c>
      <c r="D67" s="379">
        <v>6</v>
      </c>
      <c r="E67" s="379" t="s">
        <v>399</v>
      </c>
    </row>
    <row r="68" spans="2:5">
      <c r="B68" s="379">
        <v>7</v>
      </c>
      <c r="C68" s="379" t="s">
        <v>253</v>
      </c>
      <c r="D68" s="379">
        <v>7</v>
      </c>
      <c r="E68" s="379" t="s">
        <v>400</v>
      </c>
    </row>
    <row r="69" spans="2:5">
      <c r="B69" s="379">
        <v>8</v>
      </c>
      <c r="C69" s="379" t="s">
        <v>22</v>
      </c>
    </row>
  </sheetData>
  <mergeCells count="3">
    <mergeCell ref="B48:B49"/>
    <mergeCell ref="A50:A51"/>
    <mergeCell ref="B50:B51"/>
  </mergeCells>
  <phoneticPr fontId="4"/>
  <conditionalFormatting sqref="B12:AC12 B13:T19 X13:AC19 U13:W21 B32:AC39">
    <cfRule type="expression" dxfId="14" priority="2">
      <formula>$H12&lt;&gt;""</formula>
    </cfRule>
  </conditionalFormatting>
  <conditionalFormatting sqref="U40:W40">
    <cfRule type="expression" dxfId="13" priority="1">
      <formula>$H40&lt;&gt;""</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0"/>
  <sheetViews>
    <sheetView zoomScale="90" zoomScaleNormal="90" zoomScaleSheetLayoutView="120" workbookViewId="0">
      <selection activeCell="L2" sqref="L2"/>
    </sheetView>
  </sheetViews>
  <sheetFormatPr defaultColWidth="9" defaultRowHeight="12"/>
  <cols>
    <col min="1" max="1" width="3.25" style="199" customWidth="1"/>
    <col min="2" max="2" width="13.5" style="199" bestFit="1" customWidth="1"/>
    <col min="3" max="3" width="3.125" style="199" bestFit="1" customWidth="1"/>
    <col min="4" max="7" width="14.375" style="199" customWidth="1"/>
    <col min="8" max="8" width="15.125" style="199" customWidth="1"/>
    <col min="9" max="9" width="0.5" style="199" customWidth="1"/>
    <col min="10" max="10" width="2.5" style="199" customWidth="1"/>
    <col min="11" max="11" width="2.875" style="199" customWidth="1"/>
    <col min="12" max="16" width="11.25" style="199" customWidth="1"/>
    <col min="17" max="16384" width="9" style="199"/>
  </cols>
  <sheetData>
    <row r="1" spans="1:16">
      <c r="A1" s="143"/>
      <c r="B1" s="143"/>
      <c r="C1" s="143"/>
      <c r="D1" s="143"/>
      <c r="E1" s="143"/>
      <c r="F1" s="143"/>
      <c r="G1" s="174"/>
      <c r="H1" s="193" t="s">
        <v>368</v>
      </c>
      <c r="I1" s="143"/>
      <c r="L1" s="329" t="s">
        <v>313</v>
      </c>
    </row>
    <row r="2" spans="1:16" ht="27.75" customHeight="1" thickBot="1">
      <c r="A2" s="143"/>
      <c r="B2" s="143"/>
      <c r="C2" s="143"/>
      <c r="D2" s="143"/>
      <c r="E2" s="143"/>
      <c r="F2" s="143"/>
      <c r="G2" s="175"/>
      <c r="H2" s="430" t="str">
        <f>IF(OR(L2="○",L2="◎"),申込書!AH2,"")</f>
        <v/>
      </c>
      <c r="I2" s="143"/>
      <c r="L2" s="331"/>
      <c r="M2" s="199" t="s">
        <v>323</v>
      </c>
    </row>
    <row r="3" spans="1:16" ht="12.75" customHeight="1">
      <c r="A3" s="633" t="s">
        <v>192</v>
      </c>
      <c r="B3" s="633"/>
      <c r="C3" s="633"/>
      <c r="D3" s="633"/>
      <c r="E3" s="633"/>
      <c r="F3" s="633"/>
      <c r="G3" s="633"/>
      <c r="H3" s="633"/>
      <c r="I3" s="143"/>
    </row>
    <row r="4" spans="1:16" ht="12.75" customHeight="1" thickBot="1">
      <c r="A4" s="633"/>
      <c r="B4" s="633"/>
      <c r="C4" s="633"/>
      <c r="D4" s="633"/>
      <c r="E4" s="633"/>
      <c r="F4" s="633"/>
      <c r="G4" s="633"/>
      <c r="H4" s="633"/>
      <c r="I4" s="143"/>
    </row>
    <row r="5" spans="1:16" ht="25.5" customHeight="1" thickBot="1">
      <c r="A5" s="1009" t="str">
        <f>IF(申込書!W29="本部経費","※本部事務機構の使用につき、請求書の発行・振替はしません。","")</f>
        <v/>
      </c>
      <c r="B5" s="1009"/>
      <c r="C5" s="1009"/>
      <c r="D5" s="1009"/>
      <c r="E5" s="1009"/>
      <c r="F5" s="1009"/>
      <c r="G5" s="1009"/>
      <c r="H5" s="309"/>
      <c r="I5" s="143"/>
      <c r="K5" s="1000" t="s">
        <v>170</v>
      </c>
      <c r="L5" s="1035"/>
      <c r="M5" s="1035"/>
      <c r="N5" s="1035"/>
      <c r="O5" s="1035"/>
      <c r="P5" s="1001"/>
    </row>
    <row r="6" spans="1:16" ht="15.75" customHeight="1">
      <c r="A6" s="724" t="s">
        <v>59</v>
      </c>
      <c r="B6" s="634"/>
      <c r="C6" s="635"/>
      <c r="D6" s="240" t="s">
        <v>50</v>
      </c>
      <c r="E6" s="240" t="s">
        <v>52</v>
      </c>
      <c r="F6" s="327" t="s">
        <v>54</v>
      </c>
      <c r="G6" s="1031" t="s">
        <v>56</v>
      </c>
      <c r="H6" s="1033" t="s">
        <v>151</v>
      </c>
      <c r="I6" s="195"/>
      <c r="K6" s="1025"/>
      <c r="L6" s="205" t="s">
        <v>50</v>
      </c>
      <c r="M6" s="205" t="s">
        <v>52</v>
      </c>
      <c r="N6" s="206" t="s">
        <v>54</v>
      </c>
      <c r="O6" s="1027" t="s">
        <v>56</v>
      </c>
      <c r="P6" s="1023" t="s">
        <v>151</v>
      </c>
    </row>
    <row r="7" spans="1:16" ht="15.75" customHeight="1" thickBot="1">
      <c r="A7" s="725"/>
      <c r="B7" s="1029"/>
      <c r="C7" s="1030"/>
      <c r="D7" s="241" t="s">
        <v>51</v>
      </c>
      <c r="E7" s="241" t="s">
        <v>53</v>
      </c>
      <c r="F7" s="328" t="s">
        <v>55</v>
      </c>
      <c r="G7" s="1032"/>
      <c r="H7" s="1034"/>
      <c r="I7" s="195"/>
      <c r="K7" s="1026"/>
      <c r="L7" s="207" t="s">
        <v>51</v>
      </c>
      <c r="M7" s="207" t="s">
        <v>53</v>
      </c>
      <c r="N7" s="208" t="s">
        <v>55</v>
      </c>
      <c r="O7" s="1028"/>
      <c r="P7" s="1024"/>
    </row>
    <row r="8" spans="1:16" ht="12.75" thickTop="1">
      <c r="A8" s="1018" t="s">
        <v>5</v>
      </c>
      <c r="B8" s="1021" t="str">
        <f>IF(申込書!A64="","",申込書!A64)</f>
        <v/>
      </c>
      <c r="C8" s="1022" t="str">
        <f>IF(B8="","",IF(COUNTIF(祝日!$A$1:$A$108,B8),"祝",WEEKDAY(B8)))</f>
        <v/>
      </c>
      <c r="D8" s="242" t="str">
        <f>IF(申込書!H64="","",申込書!H64)</f>
        <v/>
      </c>
      <c r="E8" s="242" t="str">
        <f>IF(申込書!N64="","",申込書!N64)</f>
        <v/>
      </c>
      <c r="F8" s="242" t="str">
        <f>IF(申込書!T64="","",申込書!T64)</f>
        <v/>
      </c>
      <c r="G8" s="243" t="str">
        <f>IF(申込書!Z64="","",申込書!Z64)</f>
        <v/>
      </c>
      <c r="H8" s="244"/>
      <c r="I8" s="195"/>
      <c r="K8" s="1020" t="s">
        <v>5</v>
      </c>
      <c r="L8" s="209" t="str">
        <f>IF(D8="","",D8)</f>
        <v/>
      </c>
      <c r="M8" s="209" t="str">
        <f>E8</f>
        <v/>
      </c>
      <c r="N8" s="209" t="str">
        <f>F8</f>
        <v/>
      </c>
      <c r="O8" s="210" t="str">
        <f>G8</f>
        <v/>
      </c>
      <c r="P8" s="211"/>
    </row>
    <row r="9" spans="1:16" ht="18.75" customHeight="1">
      <c r="A9" s="1018"/>
      <c r="B9" s="1002"/>
      <c r="C9" s="1003"/>
      <c r="D9" s="245" t="str">
        <f>IF(D8="","",VLOOKUP(判定表!G16,料金!$E$1:$W$59,7,FALSE))</f>
        <v/>
      </c>
      <c r="E9" s="245" t="str">
        <f>IF(E8="","",VLOOKUP(判定表!I16,料金!$E$1:$W$59,8,FALSE))</f>
        <v/>
      </c>
      <c r="F9" s="245" t="str">
        <f>IF(F8="","",VLOOKUP(判定表!J16,料金!$E$1:$W$59,9,FALSE))</f>
        <v/>
      </c>
      <c r="G9" s="246" t="str">
        <f>IF(D8="","",IF(G8="7:30～9:30",VLOOKUP(判定表!K16,料金!$E$1:$W$59,14,FALSE),IF(G8="8:00～9:30",VLOOKUP(判定表!K16,料金!$E$1:$W$59,15,FALSE),IF(G8="8:30～9:30",VLOOKUP(判定表!K16,料金!$E$1:$W$59,16,FALSE),""))))</f>
        <v/>
      </c>
      <c r="H9" s="247">
        <f>SUM(D9:G9)</f>
        <v>0</v>
      </c>
      <c r="I9" s="336"/>
      <c r="K9" s="1020"/>
      <c r="L9" s="212" t="str">
        <f>IF(L8="","",VLOOKUP(判定表!M16,料金!$E$1:$W$59,7,FALSE))</f>
        <v/>
      </c>
      <c r="M9" s="212" t="str">
        <f>IF(M8="","",VLOOKUP(判定表!O16,料金!$E$1:$W$59,8,FALSE))</f>
        <v/>
      </c>
      <c r="N9" s="212" t="str">
        <f>IF(N8="","",VLOOKUP(判定表!P16,料金!$E$1:$W$59,9,FALSE))</f>
        <v/>
      </c>
      <c r="O9" s="213" t="str">
        <f>IF(L8="","",IF(O8="7:30～9:30",VLOOKUP(判定表!Q16,料金!$E$1:$W$59,14,FALSE),IF(O8="8:00～9:30",VLOOKUP(判定表!Q16,料金!$E$1:$W$59,15,FALSE),IF(O8="8:30～9:30",VLOOKUP(判定表!Q16,料金!$E$1:$W$59,16,FALSE),""))))</f>
        <v/>
      </c>
      <c r="P9" s="214">
        <f>SUM(L9:O9)</f>
        <v>0</v>
      </c>
    </row>
    <row r="10" spans="1:16">
      <c r="A10" s="1018"/>
      <c r="B10" s="995" t="str">
        <f>IF(申込書!A66="","",申込書!A66)</f>
        <v/>
      </c>
      <c r="C10" s="993" t="str">
        <f>IF(B10="","",IF(COUNTIF(祝日!$A$1:$A$108,B10),"祝",WEEKDAY(B10)))</f>
        <v/>
      </c>
      <c r="D10" s="248" t="str">
        <f>IF(申込書!H66="","",申込書!H66)</f>
        <v/>
      </c>
      <c r="E10" s="248" t="str">
        <f>IF(申込書!N66="","",申込書!N66)</f>
        <v/>
      </c>
      <c r="F10" s="248" t="str">
        <f>IF(申込書!T66="","",申込書!T66)</f>
        <v/>
      </c>
      <c r="G10" s="249" t="str">
        <f>IF(申込書!Z66="","",申込書!Z66)</f>
        <v/>
      </c>
      <c r="H10" s="250"/>
      <c r="I10" s="195"/>
      <c r="K10" s="1020"/>
      <c r="L10" s="217" t="str">
        <f>IF(D10="","",D10)</f>
        <v/>
      </c>
      <c r="M10" s="215" t="str">
        <f>E10</f>
        <v/>
      </c>
      <c r="N10" s="215" t="str">
        <f>F10</f>
        <v/>
      </c>
      <c r="O10" s="216" t="str">
        <f>G10</f>
        <v/>
      </c>
      <c r="P10" s="218"/>
    </row>
    <row r="11" spans="1:16" ht="18.75" customHeight="1">
      <c r="A11" s="1018"/>
      <c r="B11" s="1002"/>
      <c r="C11" s="1003"/>
      <c r="D11" s="251" t="str">
        <f>IF(D10="","",VLOOKUP(判定表!G18,料金!$E$1:$W$59,7,FALSE))</f>
        <v/>
      </c>
      <c r="E11" s="251" t="str">
        <f>IF(E10="","",VLOOKUP(判定表!I18,料金!$E$1:$W$59,8,FALSE))</f>
        <v/>
      </c>
      <c r="F11" s="251" t="str">
        <f>IF(F10="","",VLOOKUP(判定表!J18,料金!$E$1:$W$59,9,FALSE))</f>
        <v/>
      </c>
      <c r="G11" s="252" t="str">
        <f>IF(D10="","",IF(G10="7:30～9:30",VLOOKUP(判定表!K18,料金!$E$1:$W$59,14,FALSE),IF(G10="8:00～9:30",VLOOKUP(判定表!K18,料金!$E$1:$W$59,15,FALSE),IF(G10="8:30～9:30",VLOOKUP(判定表!K18,料金!$E$1:$W$59,16,FALSE),""))))</f>
        <v/>
      </c>
      <c r="H11" s="253">
        <f>SUM(D11:G11)</f>
        <v>0</v>
      </c>
      <c r="I11" s="336"/>
      <c r="K11" s="1020"/>
      <c r="L11" s="222" t="str">
        <f>IF(L10="","",VLOOKUP(判定表!M18,料金!$E$1:$W$59,7,FALSE))</f>
        <v/>
      </c>
      <c r="M11" s="219" t="str">
        <f>IF(M10="","",VLOOKUP(判定表!O18,料金!$E$1:$W$59,8,FALSE))</f>
        <v/>
      </c>
      <c r="N11" s="219" t="str">
        <f>IF(N10="","",VLOOKUP(判定表!P18,料金!$E$1:$W$59,9,FALSE))</f>
        <v/>
      </c>
      <c r="O11" s="220" t="str">
        <f>IF(L10="","",IF(O10="7:30～9:30",VLOOKUP(判定表!Q18,料金!$E$1:$W$59,14,FALSE),IF(O10="8:00～9:30",VLOOKUP(判定表!Q18,料金!$E$1:$W$59,15,FALSE),IF(O10="8:30～9:30",VLOOKUP(判定表!Q18,料金!$E$1:$W$59,16,FALSE),""))))</f>
        <v/>
      </c>
      <c r="P11" s="221">
        <f>SUM(L11:O11)</f>
        <v>0</v>
      </c>
    </row>
    <row r="12" spans="1:16">
      <c r="A12" s="1019"/>
      <c r="B12" s="1017" t="str">
        <f>IF(申込書!A68="","",申込書!A68)</f>
        <v/>
      </c>
      <c r="C12" s="993" t="str">
        <f>IF(B12="","",IF(COUNTIF(祝日!$A$1:$A$108,B12),"祝",WEEKDAY(B12)))</f>
        <v/>
      </c>
      <c r="D12" s="242" t="str">
        <f>IF(申込書!H68="","",申込書!H68)</f>
        <v/>
      </c>
      <c r="E12" s="242" t="str">
        <f>IF(申込書!N68="","",申込書!N68)</f>
        <v/>
      </c>
      <c r="F12" s="242" t="str">
        <f>IF(申込書!T68="","",申込書!T68)</f>
        <v/>
      </c>
      <c r="G12" s="243" t="str">
        <f>IF(申込書!Z68="","",申込書!Z68)</f>
        <v/>
      </c>
      <c r="H12" s="244"/>
      <c r="I12" s="195"/>
      <c r="K12" s="1020"/>
      <c r="L12" s="217" t="str">
        <f>IF(D12="","",D12)</f>
        <v/>
      </c>
      <c r="M12" s="215" t="str">
        <f>E12</f>
        <v/>
      </c>
      <c r="N12" s="215" t="str">
        <f>F12</f>
        <v/>
      </c>
      <c r="O12" s="216" t="str">
        <f>G12</f>
        <v/>
      </c>
      <c r="P12" s="211"/>
    </row>
    <row r="13" spans="1:16" ht="18.75" customHeight="1">
      <c r="A13" s="1019"/>
      <c r="B13" s="1017"/>
      <c r="C13" s="1003"/>
      <c r="D13" s="245" t="str">
        <f>IF(D12="","",VLOOKUP(判定表!G20,料金!$E$1:$W$59,7,FALSE))</f>
        <v/>
      </c>
      <c r="E13" s="245" t="str">
        <f>IF(E12="","",VLOOKUP(判定表!I20,料金!$E$1:$W$59,8,FALSE))</f>
        <v/>
      </c>
      <c r="F13" s="245" t="str">
        <f>IF(F12="","",VLOOKUP(判定表!J20,料金!$E$1:$W$59,9,FALSE))</f>
        <v/>
      </c>
      <c r="G13" s="246" t="str">
        <f>IF(D12="","",IF(G12="7:30～9:30",VLOOKUP(判定表!K20,料金!$E$1:$W$59,14,FALSE),IF(G12="8:00～9:30",VLOOKUP(判定表!K20,料金!$E$1:$W$59,15,FALSE),IF(G12="8:30～9:30",VLOOKUP(判定表!K20,料金!$E$1:$W$59,16,FALSE),""))))</f>
        <v/>
      </c>
      <c r="H13" s="247">
        <f>SUM(D13:G13)</f>
        <v>0</v>
      </c>
      <c r="I13" s="336"/>
      <c r="K13" s="1020"/>
      <c r="L13" s="212" t="str">
        <f>IF(L12="","",VLOOKUP(判定表!M20,料金!$E$1:$W$59,7,FALSE))</f>
        <v/>
      </c>
      <c r="M13" s="212" t="str">
        <f>IF(M12="","",VLOOKUP(判定表!O20,料金!$E$1:$W$59,8,FALSE))</f>
        <v/>
      </c>
      <c r="N13" s="212" t="str">
        <f>IF(N12="","",VLOOKUP(判定表!P20,料金!$E$1:$W$59,9,FALSE))</f>
        <v/>
      </c>
      <c r="O13" s="213" t="str">
        <f>IF(L12="","",IF(O12="7:30～9:30",VLOOKUP(判定表!Q20,料金!$E$1:$W$59,14,FALSE),IF(O12="8:00～9:30",VLOOKUP(判定表!Q20,料金!$E$1:$W$59,15,FALSE),IF(O12="8:30～9:30",VLOOKUP(判定表!Q20,料金!$E$1:$W$59,16,FALSE),""))))</f>
        <v/>
      </c>
      <c r="P13" s="214">
        <f>SUM(L13:O13)</f>
        <v>0</v>
      </c>
    </row>
    <row r="14" spans="1:16">
      <c r="A14" s="1019"/>
      <c r="B14" s="995" t="str">
        <f>IF(申込書!A70="","",申込書!A70)</f>
        <v/>
      </c>
      <c r="C14" s="993" t="str">
        <f>IF(B14="","",IF(COUNTIF(祝日!$A$1:$A$108,B14),"祝",WEEKDAY(B14)))</f>
        <v/>
      </c>
      <c r="D14" s="248" t="str">
        <f>IF(申込書!H70="","",申込書!H70)</f>
        <v/>
      </c>
      <c r="E14" s="248" t="str">
        <f>IF(申込書!N70="","",申込書!N70)</f>
        <v/>
      </c>
      <c r="F14" s="248" t="str">
        <f>IF(申込書!T70="","",申込書!T70)</f>
        <v/>
      </c>
      <c r="G14" s="249" t="str">
        <f>IF(申込書!Z70="","",申込書!Z70)</f>
        <v/>
      </c>
      <c r="H14" s="250"/>
      <c r="I14" s="195"/>
      <c r="K14" s="1020"/>
      <c r="L14" s="217" t="str">
        <f>IF(D14="","",D14)</f>
        <v/>
      </c>
      <c r="M14" s="215" t="str">
        <f>E14</f>
        <v/>
      </c>
      <c r="N14" s="215" t="str">
        <f>F14</f>
        <v/>
      </c>
      <c r="O14" s="216" t="str">
        <f>G14</f>
        <v/>
      </c>
      <c r="P14" s="218"/>
    </row>
    <row r="15" spans="1:16" ht="18.75" customHeight="1" thickBot="1">
      <c r="A15" s="1019"/>
      <c r="B15" s="1017"/>
      <c r="C15" s="994"/>
      <c r="D15" s="245" t="str">
        <f>IF(D14="","",VLOOKUP(判定表!G22,料金!$E$1:$W$59,7,FALSE))</f>
        <v/>
      </c>
      <c r="E15" s="245" t="str">
        <f>IF(E14="","",VLOOKUP(判定表!I22,料金!$E$1:$W$59,8,FALSE))</f>
        <v/>
      </c>
      <c r="F15" s="245" t="str">
        <f>IF(F14="","",VLOOKUP(判定表!J22,料金!$E$1:$W$59,9,FALSE))</f>
        <v/>
      </c>
      <c r="G15" s="246" t="str">
        <f>IF(D14="","",IF(G14="7:30～9:30",VLOOKUP(判定表!K22,料金!$E$1:$W$59,14,FALSE),IF(G14="8:00～9:30",VLOOKUP(判定表!K22,料金!$E$1:$W$59,15,FALSE),IF(G14="8:30～9:30",VLOOKUP(判定表!K22,料金!$E$1:$W$59,16,FALSE),""))))</f>
        <v/>
      </c>
      <c r="H15" s="247">
        <f>SUM(D15:G15)</f>
        <v>0</v>
      </c>
      <c r="I15" s="336"/>
      <c r="K15" s="1020"/>
      <c r="L15" s="212" t="str">
        <f>IF(L14="","",VLOOKUP(判定表!M22,料金!$E$1:$W$59,7,FALSE))</f>
        <v/>
      </c>
      <c r="M15" s="212" t="str">
        <f>IF(M14="","",VLOOKUP(判定表!O22,料金!$E$1:$W$59,8,FALSE))</f>
        <v/>
      </c>
      <c r="N15" s="212" t="str">
        <f>IF(N14="","",VLOOKUP(判定表!P22,料金!$E$1:$W$59,9,FALSE))</f>
        <v/>
      </c>
      <c r="O15" s="213" t="str">
        <f>IF(L14="","",IF(O14="7:30～9:30",VLOOKUP(判定表!Q22,料金!$E$1:$W$59,14,FALSE),IF(O14="8:00～9:30",VLOOKUP(判定表!Q22,料金!$E$1:$W$59,15,FALSE),IF(O14="8:30～9:30",VLOOKUP(判定表!Q22,料金!$E$1:$W$59,16,FALSE),""))))</f>
        <v/>
      </c>
      <c r="P15" s="214">
        <f>SUM(L15:O15)</f>
        <v>0</v>
      </c>
    </row>
    <row r="16" spans="1:16">
      <c r="A16" s="997" t="s">
        <v>168</v>
      </c>
      <c r="B16" s="1016" t="str">
        <f>IF(申込書!A76="","",申込書!A76)</f>
        <v/>
      </c>
      <c r="C16" s="1004" t="str">
        <f>IF(B16="","",IF(COUNTIF(祝日!$A$1:$A$108,B16),"祝",WEEKDAY(B16)))</f>
        <v/>
      </c>
      <c r="D16" s="254" t="str">
        <f>IF(OR(申込書!H76="",申込書!H76="（会議室選択）"),"",申込書!H76)</f>
        <v/>
      </c>
      <c r="E16" s="254" t="str">
        <f>IF(OR(申込書!N76="",申込書!N76="（会議室選択）"),"",申込書!N76)</f>
        <v/>
      </c>
      <c r="F16" s="254" t="str">
        <f>IF(OR(申込書!T76="",申込書!T76="（会議室選択）"),"",申込書!T76)</f>
        <v/>
      </c>
      <c r="G16" s="255" t="str">
        <f>IF(OR(申込書!Z76="",申込書!Z76="（使用時間選択・午前使用の施設に適用）"),"",申込書!Z76)</f>
        <v/>
      </c>
      <c r="H16" s="256"/>
      <c r="I16" s="195"/>
      <c r="K16" s="1013" t="s">
        <v>168</v>
      </c>
      <c r="L16" s="223" t="str">
        <f>D16</f>
        <v/>
      </c>
      <c r="M16" s="223" t="str">
        <f>E16</f>
        <v/>
      </c>
      <c r="N16" s="223" t="str">
        <f>F16</f>
        <v/>
      </c>
      <c r="O16" s="224" t="str">
        <f>G16</f>
        <v/>
      </c>
      <c r="P16" s="225"/>
    </row>
    <row r="17" spans="1:16" ht="18.75" customHeight="1">
      <c r="A17" s="998"/>
      <c r="B17" s="1017"/>
      <c r="C17" s="1003"/>
      <c r="D17" s="245" t="str">
        <f>IF(D16="","",VLOOKUP(判定表!G26,料金!$E$1:$W$59,7,FALSE)*判定表!G25)</f>
        <v/>
      </c>
      <c r="E17" s="245" t="str">
        <f>IF(E16="","",VLOOKUP(判定表!I26,料金!$E$1:$W$59,8,FALSE)*判定表!I25)</f>
        <v/>
      </c>
      <c r="F17" s="245" t="str">
        <f>IF(F16="","",VLOOKUP(判定表!J26,料金!$E$1:$W$59,9,FALSE)*判定表!J25)</f>
        <v/>
      </c>
      <c r="G17" s="246" t="str">
        <f>IF(D16="","",IF(G16="7:30～9:30",VLOOKUP(判定表!K26,料金!$E$1:$W$59,14,FALSE)*判定表!G25,IF(G16="8:00～9:30",VLOOKUP(判定表!K26,料金!$E$1:$W$59,15,FALSE)*判定表!G25,IF(G16="8:30～9:30",VLOOKUP(判定表!K26,料金!$E$1:$W$59,16,FALSE)*判定表!G25,""))))</f>
        <v/>
      </c>
      <c r="H17" s="247">
        <f>SUM(D17:G17)</f>
        <v>0</v>
      </c>
      <c r="I17" s="336"/>
      <c r="K17" s="1014"/>
      <c r="L17" s="212" t="str">
        <f>IF(L16="","",VLOOKUP(判定表!M$26,料金!$E$1:$W$59,7,FALSE)*判定表!M$25)</f>
        <v/>
      </c>
      <c r="M17" s="212" t="str">
        <f>IF(M16="","",VLOOKUP(判定表!O26,料金!$E$1:$W$59,8,FALSE)*判定表!O25)</f>
        <v/>
      </c>
      <c r="N17" s="212" t="str">
        <f>IF(N16="","",VLOOKUP(判定表!P26,料金!$E$1:$W$59,9,FALSE)*判定表!P25)</f>
        <v/>
      </c>
      <c r="O17" s="213" t="str">
        <f>IF(L16="","",IF(O16="7:30～9:30",VLOOKUP(判定表!Q26,料金!$E$1:$W$59,14,FALSE)*判定表!M25,IF(O16="8:00～9:30",VLOOKUP(判定表!Q26,料金!$E$1:$W$59,15,FALSE)*判定表!M25,IF(O16="8:30～9:30",VLOOKUP(判定表!Q26,料金!$E$1:$W$59,16,FALSE)*判定表!M25,""))))</f>
        <v/>
      </c>
      <c r="P17" s="214">
        <f>SUM(L17:O17)</f>
        <v>0</v>
      </c>
    </row>
    <row r="18" spans="1:16">
      <c r="A18" s="998"/>
      <c r="B18" s="995" t="str">
        <f>IF(申込書!A78="","",申込書!A78)</f>
        <v/>
      </c>
      <c r="C18" s="993" t="str">
        <f>IF(B18="","",IF(COUNTIF(祝日!$A$1:$A$108,B18),"祝",WEEKDAY(B18)))</f>
        <v/>
      </c>
      <c r="D18" s="248" t="str">
        <f>IF(OR(申込書!H78="",申込書!H78="（会議室選択）"),"",申込書!H78)</f>
        <v/>
      </c>
      <c r="E18" s="248" t="str">
        <f>IF(OR(申込書!N78="",申込書!N78="（会議室選択）"),"",申込書!N78)</f>
        <v/>
      </c>
      <c r="F18" s="248" t="str">
        <f>IF(OR(申込書!T78="",申込書!T78="（会議室選択）"),"",申込書!T78)</f>
        <v/>
      </c>
      <c r="G18" s="324" t="str">
        <f>IF(OR(申込書!Z78="",申込書!Z78="（使用時間選択・午前使用の施設に適用）"),"",申込書!Z78)</f>
        <v/>
      </c>
      <c r="H18" s="250"/>
      <c r="I18" s="195"/>
      <c r="K18" s="1014"/>
      <c r="L18" s="217" t="str">
        <f>D18</f>
        <v/>
      </c>
      <c r="M18" s="215" t="str">
        <f>E18</f>
        <v/>
      </c>
      <c r="N18" s="215" t="str">
        <f>F18</f>
        <v/>
      </c>
      <c r="O18" s="216" t="str">
        <f>G18</f>
        <v/>
      </c>
      <c r="P18" s="218"/>
    </row>
    <row r="19" spans="1:16" ht="18.75" customHeight="1">
      <c r="A19" s="998"/>
      <c r="B19" s="1002"/>
      <c r="C19" s="1003"/>
      <c r="D19" s="251" t="str">
        <f>IF(D18="","",VLOOKUP(判定表!G28,料金!$E$1:$W$59,7,FALSE)*判定表!G27)</f>
        <v/>
      </c>
      <c r="E19" s="251" t="str">
        <f>IF(E18="","",VLOOKUP(判定表!I28,料金!$E$1:$W$59,8,FALSE)*判定表!I27)</f>
        <v/>
      </c>
      <c r="F19" s="251" t="str">
        <f>IF(F18="","",VLOOKUP(判定表!J28,料金!$E$1:$W$59,9,FALSE)*判定表!J27)</f>
        <v/>
      </c>
      <c r="G19" s="323" t="str">
        <f>IF(D18="","",IF(G18="7:30～9:30",VLOOKUP(判定表!K28,料金!$E$1:$W$59,14,FALSE)*判定表!G27,IF(G18="8:00～9:30",VLOOKUP(判定表!K28,料金!$E$1:$W$59,15,FALSE)*判定表!G27,IF(G18="8:30～9:30",VLOOKUP(判定表!K28,料金!$E$1:$W$59,16,FALSE)*判定表!G27,""))))</f>
        <v/>
      </c>
      <c r="H19" s="253">
        <f>SUM(D19:G19)</f>
        <v>0</v>
      </c>
      <c r="I19" s="336"/>
      <c r="K19" s="1014"/>
      <c r="L19" s="222" t="str">
        <f>IF(L18="","",VLOOKUP(判定表!M28,料金!$E$1:$W$59,7,FALSE)*判定表!M27)</f>
        <v/>
      </c>
      <c r="M19" s="219" t="str">
        <f>IF(M18="","",VLOOKUP(判定表!O28,料金!$E$1:$W$59,8,FALSE)*判定表!O27)</f>
        <v/>
      </c>
      <c r="N19" s="219" t="str">
        <f>IF(N18="","",VLOOKUP(判定表!P28,料金!$E$1:$W$59,9,FALSE)*判定表!P27)</f>
        <v/>
      </c>
      <c r="O19" s="220" t="str">
        <f>IF(L18="","",IF(O18="7:30～9:30",VLOOKUP(判定表!Q28,料金!$E$1:$W$59,14,FALSE)*判定表!M27,IF(O18="8:00～9:30",VLOOKUP(判定表!Q28,料金!$E$1:$W$59,15,FALSE)*判定表!M27,IF(O18="8:30～9:30",VLOOKUP(判定表!Q28,料金!$E$1:$W$59,16,FALSE)*判定表!M27,""))))</f>
        <v/>
      </c>
      <c r="P19" s="221">
        <f>SUM(L19:O19)</f>
        <v>0</v>
      </c>
    </row>
    <row r="20" spans="1:16">
      <c r="A20" s="998"/>
      <c r="B20" s="1017" t="str">
        <f>IF(申込書!A80="","",申込書!A80)</f>
        <v/>
      </c>
      <c r="C20" s="993" t="str">
        <f>IF(B20="","",IF(COUNTIF(祝日!$A$1:$A$108,B20),"祝",WEEKDAY(B20)))</f>
        <v/>
      </c>
      <c r="D20" s="248" t="str">
        <f>IF(OR(申込書!H80="",申込書!H80="（会議室選択）"),"",申込書!H80)</f>
        <v/>
      </c>
      <c r="E20" s="248" t="str">
        <f>IF(OR(申込書!N80="",申込書!N80="（会議室選択）"),"",申込書!N80)</f>
        <v/>
      </c>
      <c r="F20" s="248" t="str">
        <f>IF(OR(申込書!T80="",申込書!T80="（会議室選択）"),"",申込書!T80)</f>
        <v/>
      </c>
      <c r="G20" s="324" t="str">
        <f>IF(OR(申込書!Z80="",申込書!Z80="（使用時間選択・午前使用の施設に適用）"),"",申込書!Z80)</f>
        <v/>
      </c>
      <c r="H20" s="244"/>
      <c r="I20" s="195"/>
      <c r="K20" s="1014"/>
      <c r="L20" s="209" t="str">
        <f>D20</f>
        <v/>
      </c>
      <c r="M20" s="209" t="str">
        <f>E20</f>
        <v/>
      </c>
      <c r="N20" s="209" t="str">
        <f>F20</f>
        <v/>
      </c>
      <c r="O20" s="210" t="str">
        <f>G20</f>
        <v/>
      </c>
      <c r="P20" s="211"/>
    </row>
    <row r="21" spans="1:16" ht="18.75" customHeight="1">
      <c r="A21" s="998"/>
      <c r="B21" s="1017"/>
      <c r="C21" s="1003"/>
      <c r="D21" s="251" t="str">
        <f>IF(D20="","",VLOOKUP(判定表!G30,料金!$E$1:$W$59,7,FALSE)*判定表!G29)</f>
        <v/>
      </c>
      <c r="E21" s="251" t="str">
        <f>IF(E20="","",VLOOKUP(判定表!I30,料金!$E$1:$W$59,8,FALSE)*判定表!I29)</f>
        <v/>
      </c>
      <c r="F21" s="251" t="str">
        <f>IF(F20="","",VLOOKUP(判定表!J30,料金!$E$1:$W$59,9,FALSE)*判定表!J29)</f>
        <v/>
      </c>
      <c r="G21" s="323" t="str">
        <f>IF(D20="","",IF(G20="7:30～9:30",VLOOKUP(判定表!K30,料金!$E$1:$W$59,14,FALSE)*判定表!G29,IF(G20="8:00～9:30",VLOOKUP(判定表!K30,料金!$E$1:$W$59,15,FALSE)*判定表!G29,IF(G20="8:30～9:30",VLOOKUP(判定表!K30,料金!$E$1:$W$59,16,FALSE)*判定表!G29,""))))</f>
        <v/>
      </c>
      <c r="H21" s="247">
        <f>SUM(D21:G21)</f>
        <v>0</v>
      </c>
      <c r="I21" s="336"/>
      <c r="K21" s="1014"/>
      <c r="L21" s="212" t="str">
        <f>IF(L20="","",VLOOKUP(判定表!M30,料金!$E$1:$W$59,7,FALSE)*判定表!M29)</f>
        <v/>
      </c>
      <c r="M21" s="212" t="str">
        <f>IF(M20="","",VLOOKUP(判定表!O30,料金!$E$1:$W$59,8,FALSE)*判定表!O29)</f>
        <v/>
      </c>
      <c r="N21" s="212" t="str">
        <f>IF(N20="","",VLOOKUP(判定表!P30,料金!$E$1:$W$59,9,FALSE)*判定表!P29)</f>
        <v/>
      </c>
      <c r="O21" s="213" t="str">
        <f>IF(L20="","",IF(O20="7:30～9:30",VLOOKUP(判定表!Q30,料金!$E$1:$W$59,14,FALSE)*判定表!M29,IF(O20="8:00～9:30",VLOOKUP(判定表!Q30,料金!$E$1:$W$59,15,FALSE)*判定表!M29,IF(O20="8:30～9:30",VLOOKUP(判定表!Q30,料金!$E$1:$W$59,16,FALSE)*判定表!M29,""))))</f>
        <v/>
      </c>
      <c r="P21" s="214">
        <f>SUM(L21:O21)</f>
        <v>0</v>
      </c>
    </row>
    <row r="22" spans="1:16">
      <c r="A22" s="998"/>
      <c r="B22" s="995" t="str">
        <f>IF(申込書!A82="","",申込書!A82)</f>
        <v/>
      </c>
      <c r="C22" s="993" t="str">
        <f>IF(B22="","",IF(COUNTIF(祝日!$A$1:$A$108,B22),"祝",WEEKDAY(B22)))</f>
        <v/>
      </c>
      <c r="D22" s="242" t="str">
        <f>IF(OR(申込書!H82="",申込書!H82="（会議室選択）"),"",申込書!H82)</f>
        <v/>
      </c>
      <c r="E22" s="242" t="str">
        <f>IF(OR(申込書!N82="",申込書!N82="（会議室選択）"),"",申込書!N82)</f>
        <v/>
      </c>
      <c r="F22" s="242" t="str">
        <f>IF(OR(申込書!T82="",申込書!T82="（会議室選択）"),"",申込書!T82)</f>
        <v/>
      </c>
      <c r="G22" s="243" t="str">
        <f>IF(OR(申込書!Z82="",申込書!Z82="（使用時間選択・午前使用の施設に適用）"),"",申込書!Z82)</f>
        <v/>
      </c>
      <c r="H22" s="250"/>
      <c r="I22" s="195"/>
      <c r="K22" s="1014"/>
      <c r="L22" s="217" t="str">
        <f>D22</f>
        <v/>
      </c>
      <c r="M22" s="215" t="str">
        <f>E22</f>
        <v/>
      </c>
      <c r="N22" s="215" t="str">
        <f>F22</f>
        <v/>
      </c>
      <c r="O22" s="216" t="str">
        <f>G22</f>
        <v/>
      </c>
      <c r="P22" s="218"/>
    </row>
    <row r="23" spans="1:16" ht="18.75" customHeight="1" thickBot="1">
      <c r="A23" s="999"/>
      <c r="B23" s="996"/>
      <c r="C23" s="994"/>
      <c r="D23" s="257" t="str">
        <f>IF(D22="","",VLOOKUP(判定表!G32,料金!$E$1:$W$59,7,FALSE)*判定表!G31)</f>
        <v/>
      </c>
      <c r="E23" s="257" t="str">
        <f>IF(E22="","",VLOOKUP(判定表!I32,料金!$E$1:$W$59,8,FALSE)*判定表!I31)</f>
        <v/>
      </c>
      <c r="F23" s="257" t="str">
        <f>IF(F22="","",VLOOKUP(判定表!J32,料金!$E$1:$W$59,9,FALSE)*判定表!J31)</f>
        <v/>
      </c>
      <c r="G23" s="258" t="str">
        <f>IF(D22="","",IF(G22="7:30～9:30",VLOOKUP(判定表!K32,料金!$E$1:$W$59,14,FALSE)*判定表!G31,IF(G22="8:00～9:30",VLOOKUP(判定表!K32,料金!$E$1:$W$59,15,FALSE)*判定表!G31,IF(G22="8:30～9:30",VLOOKUP(判定表!K32,料金!$E$1:$W$59,16,FALSE)*判定表!G31,""))))</f>
        <v/>
      </c>
      <c r="H23" s="259">
        <f>SUM(D23:G23)</f>
        <v>0</v>
      </c>
      <c r="I23" s="336"/>
      <c r="K23" s="1015"/>
      <c r="L23" s="229" t="str">
        <f>IF(L22="","",VLOOKUP(判定表!M32,料金!$E$1:$W$59,7,FALSE)*判定表!M31)</f>
        <v/>
      </c>
      <c r="M23" s="226" t="str">
        <f>IF(M22="","",VLOOKUP(判定表!O32,料金!$E$1:$W$59,8,FALSE)*判定表!O31)</f>
        <v/>
      </c>
      <c r="N23" s="226" t="str">
        <f>IF(N22="","",VLOOKUP(判定表!P32,料金!$E$1:$W$59,9,FALSE)*判定表!P31)</f>
        <v/>
      </c>
      <c r="O23" s="227" t="str">
        <f>IF(L22="","",IF(O22="7:30～9:30",VLOOKUP(判定表!Q32,料金!$E$1:$W$59,14,FALSE)*判定表!M31,IF(O22="8:00～9:30",VLOOKUP(判定表!Q32,料金!$E$1:$W$59,15,FALSE)*判定表!M31,IF(O22="8:30～9:30",VLOOKUP(判定表!Q32,料金!$E$1:$W$59,16,FALSE)*判定表!M31,""))))</f>
        <v/>
      </c>
      <c r="P23" s="228">
        <f>SUM(L23:O23)</f>
        <v>0</v>
      </c>
    </row>
    <row r="24" spans="1:16">
      <c r="A24" s="997" t="s">
        <v>6</v>
      </c>
      <c r="B24" s="1016" t="str">
        <f>IF(申込書!A76="","",IF(OR(申込書!AL78=TRUE,申込書!AM78=TRUE,申込書!AN78=TRUE),申込書!A76,""))</f>
        <v/>
      </c>
      <c r="C24" s="1004" t="str">
        <f>IF(B24="","",IF(COUNTIF(祝日!$A$1:$A$108,B24),"祝",WEEKDAY(B24)))</f>
        <v/>
      </c>
      <c r="D24" s="330"/>
      <c r="E24" s="330"/>
      <c r="F24" s="330"/>
      <c r="G24" s="260" t="str">
        <f>IF(申込書!AP78=TRUE,申込書!Z76,"")</f>
        <v/>
      </c>
      <c r="H24" s="256"/>
      <c r="I24" s="195"/>
      <c r="K24" s="1013" t="s">
        <v>6</v>
      </c>
      <c r="L24" s="223"/>
      <c r="M24" s="223"/>
      <c r="N24" s="223"/>
      <c r="O24" s="224" t="str">
        <f>G24</f>
        <v/>
      </c>
      <c r="P24" s="225"/>
    </row>
    <row r="25" spans="1:16" ht="18.75" customHeight="1">
      <c r="A25" s="998"/>
      <c r="B25" s="1017"/>
      <c r="C25" s="1003"/>
      <c r="D25" s="245" t="str">
        <f>IF(判定表!G36="","",VLOOKUP(判定表!G36,料金!$E$1:$W$59,7,FALSE))</f>
        <v/>
      </c>
      <c r="E25" s="245" t="str">
        <f>IF(判定表!I36="","",VLOOKUP(判定表!I36,料金!$E$1:$W$59,8,FALSE))</f>
        <v/>
      </c>
      <c r="F25" s="245" t="str">
        <f>IF(判定表!J36="","",VLOOKUP(判定表!J36,料金!$E$1:$W$59,9,FALSE))</f>
        <v/>
      </c>
      <c r="G25" s="246" t="str">
        <f>IF(申込書!AP78=TRUE,IF(G24="7:30～9:30",VLOOKUP(判定表!K36,料金!$E$1:$W$59,14,FALSE),IF(G24="8:00～9:30",VLOOKUP(判定表!K36,料金!$E$1:$W$59,15,FALSE),IF(G24="8:30～9:30",VLOOKUP(判定表!K36,料金!$E$1:$W$59,16,FALSE)))),"")</f>
        <v/>
      </c>
      <c r="H25" s="247">
        <f>SUM(D25:G25)</f>
        <v>0</v>
      </c>
      <c r="I25" s="336"/>
      <c r="K25" s="1014"/>
      <c r="L25" s="212" t="str">
        <f>IF(判定表!M36="","",VLOOKUP(判定表!M36,料金!$E$1:$W$59,7,FALSE))</f>
        <v/>
      </c>
      <c r="M25" s="212" t="str">
        <f>IF(判定表!O36="","",VLOOKUP(判定表!O36,料金!$E$1:$W$59,8,FALSE))</f>
        <v/>
      </c>
      <c r="N25" s="212" t="str">
        <f>IF(判定表!P36="","",VLOOKUP(判定表!P36,料金!$E$1:$W$59,9,FALSE))</f>
        <v/>
      </c>
      <c r="O25" s="213" t="str">
        <f>IF(申込書!AP78=TRUE,IF(O24="7:30～9:30",VLOOKUP(判定表!Q36,料金!$E$1:$W$59,14,FALSE),IF(O24="8:00～9:30",VLOOKUP(判定表!Q36,料金!$E$1:$W$59,15,FALSE),IF(O24="8:30～9:30",VLOOKUP(判定表!Q36,料金!$E$1:$W$59,16,FALSE)))),"")</f>
        <v/>
      </c>
      <c r="P25" s="214">
        <f>SUM(L25:O25)</f>
        <v>0</v>
      </c>
    </row>
    <row r="26" spans="1:16">
      <c r="A26" s="998"/>
      <c r="B26" s="995" t="str">
        <f>IF(申込書!A78="","",IF(OR(申込書!AL80=TRUE,申込書!AM80=TRUE,申込書!AN80=TRUE),申込書!A78,""))</f>
        <v/>
      </c>
      <c r="C26" s="993" t="str">
        <f>IF(B26="","",IF(COUNTIF(祝日!$A$1:$A$108,B26),"祝",WEEKDAY(B26)))</f>
        <v/>
      </c>
      <c r="D26" s="261"/>
      <c r="E26" s="261"/>
      <c r="F26" s="261"/>
      <c r="G26" s="262" t="str">
        <f>IF(申込書!AP80=TRUE,申込書!Z78,"")</f>
        <v/>
      </c>
      <c r="H26" s="250"/>
      <c r="I26" s="195"/>
      <c r="K26" s="1014"/>
      <c r="L26" s="215"/>
      <c r="M26" s="215"/>
      <c r="N26" s="215"/>
      <c r="O26" s="216" t="str">
        <f>G26</f>
        <v/>
      </c>
      <c r="P26" s="218"/>
    </row>
    <row r="27" spans="1:16" ht="18.75" customHeight="1">
      <c r="A27" s="998"/>
      <c r="B27" s="1002"/>
      <c r="C27" s="1003"/>
      <c r="D27" s="251" t="str">
        <f>IF(判定表!G38="","",VLOOKUP(判定表!G38,料金!$E$1:$W$59,7,FALSE))</f>
        <v/>
      </c>
      <c r="E27" s="251" t="str">
        <f>IF(判定表!I38="","",VLOOKUP(判定表!I38,料金!$E$1:$W$59,8,FALSE))</f>
        <v/>
      </c>
      <c r="F27" s="251" t="str">
        <f>IF(判定表!J38="","",VLOOKUP(判定表!J38,料金!$E$1:$W$59,9,FALSE))</f>
        <v/>
      </c>
      <c r="G27" s="252" t="str">
        <f>IF(申込書!AP80=TRUE,IF(G26="7:30～9:30",VLOOKUP(判定表!K38,料金!$E$1:$W$59,14,FALSE),IF(G26="8:00～9:30",VLOOKUP(判定表!K38,料金!$E$1:$W$59,15,FALSE),IF(G26="8:30～9:30",VLOOKUP(判定表!K38,料金!$E$1:$W$59,16,FALSE)))),"")</f>
        <v/>
      </c>
      <c r="H27" s="253">
        <f>SUM(D27:G27)</f>
        <v>0</v>
      </c>
      <c r="I27" s="336"/>
      <c r="K27" s="1014"/>
      <c r="L27" s="219" t="str">
        <f>IF(判定表!M38="","",VLOOKUP(判定表!M38,料金!$E$1:$W$59,7,FALSE))</f>
        <v/>
      </c>
      <c r="M27" s="219" t="str">
        <f>IF(判定表!O38="","",VLOOKUP(判定表!O38,料金!$E$1:$W$59,8,FALSE))</f>
        <v/>
      </c>
      <c r="N27" s="219" t="str">
        <f>IF(判定表!P38="","",VLOOKUP(判定表!P38,料金!$E$1:$W$59,9,FALSE))</f>
        <v/>
      </c>
      <c r="O27" s="220" t="str">
        <f>IF(申込書!AP80=TRUE,IF(O26="7:30～9:30",VLOOKUP(判定表!Q38,料金!$E$1:$W$59,14,FALSE),IF(G26="8:00～9:30",VLOOKUP(判定表!Q38,料金!$E$1:$W$59,15,FALSE),IF(G26="8:30～9:30",VLOOKUP(判定表!Q38,料金!$E$1:$W$59,16,FALSE)))),"")</f>
        <v/>
      </c>
      <c r="P27" s="221">
        <f>SUM(L27:O27)</f>
        <v>0</v>
      </c>
    </row>
    <row r="28" spans="1:16">
      <c r="A28" s="998"/>
      <c r="B28" s="995" t="str">
        <f>IF(申込書!A80="","",IF(OR(申込書!AL82=TRUE,申込書!AM82=TRUE,申込書!AN82=TRUE),申込書!A80,""))</f>
        <v/>
      </c>
      <c r="C28" s="993" t="str">
        <f>IF(B28="","",IF(COUNTIF(祝日!$A$1:$A$108,B28),"祝",WEEKDAY(B28)))</f>
        <v/>
      </c>
      <c r="D28" s="261"/>
      <c r="E28" s="261"/>
      <c r="F28" s="261"/>
      <c r="G28" s="262" t="str">
        <f>IF(申込書!AP82=TRUE,申込書!Z80,"")</f>
        <v/>
      </c>
      <c r="H28" s="250"/>
      <c r="I28" s="195"/>
      <c r="K28" s="1014"/>
      <c r="L28" s="215"/>
      <c r="M28" s="215"/>
      <c r="N28" s="215"/>
      <c r="O28" s="216" t="str">
        <f>G28</f>
        <v/>
      </c>
      <c r="P28" s="218"/>
    </row>
    <row r="29" spans="1:16" ht="18.75" customHeight="1">
      <c r="A29" s="998"/>
      <c r="B29" s="1002"/>
      <c r="C29" s="1003"/>
      <c r="D29" s="251" t="str">
        <f>IF(判定表!G40="","",VLOOKUP(判定表!G40,料金!$E$1:$W$59,7,FALSE))</f>
        <v/>
      </c>
      <c r="E29" s="251" t="str">
        <f>IF(判定表!I40="","",VLOOKUP(判定表!I40,料金!$E$1:$W$59,8,FALSE))</f>
        <v/>
      </c>
      <c r="F29" s="251" t="str">
        <f>IF(判定表!J40="","",VLOOKUP(判定表!J40,料金!$E$1:$W$59,9,FALSE))</f>
        <v/>
      </c>
      <c r="G29" s="252" t="str">
        <f>IF(申込書!AP82=TRUE,IF(G28="7:30～9:30",VLOOKUP(判定表!K40,料金!$E$1:$W$59,14,FALSE),IF(G28="8:00～9:30",VLOOKUP(判定表!K40,料金!$E$1:$W$59,15,FALSE),IF(G28="8:30～9:30",VLOOKUP(判定表!K40,料金!$E$1:$W$59,16,FALSE)))),"")</f>
        <v/>
      </c>
      <c r="H29" s="253">
        <f>SUM(D29:G29)</f>
        <v>0</v>
      </c>
      <c r="I29" s="336"/>
      <c r="K29" s="1014"/>
      <c r="L29" s="219" t="str">
        <f>IF(判定表!M40="","",VLOOKUP(判定表!M40,料金!$E$1:$W$59,7,FALSE))</f>
        <v/>
      </c>
      <c r="M29" s="219" t="str">
        <f>IF(判定表!O40="","",VLOOKUP(判定表!O40,料金!$E$1:$W$59,8,FALSE))</f>
        <v/>
      </c>
      <c r="N29" s="219" t="str">
        <f>IF(判定表!P40="","",VLOOKUP(判定表!P40,料金!$E$1:$W$59,9,FALSE))</f>
        <v/>
      </c>
      <c r="O29" s="220" t="str">
        <f>IF(申込書!AP82=TRUE,IF(O28="7:30～9:30",VLOOKUP(判定表!Q40,料金!$E$1:$W$59,14,FALSE),IF(O28="8:00～9:30",VLOOKUP(判定表!Q40,料金!$E$1:$W$59,15,FALSE),IF(G28="8:30～9:30",VLOOKUP(判定表!Q40,料金!$E$1:$W$59,16,FALSE)))),"")</f>
        <v/>
      </c>
      <c r="P29" s="221">
        <f>SUM(L29:O29)</f>
        <v>0</v>
      </c>
    </row>
    <row r="30" spans="1:16">
      <c r="A30" s="998"/>
      <c r="B30" s="995" t="str">
        <f>IF(申込書!A82="","",IF(OR(申込書!AL84=TRUE,申込書!AM84=TRUE,申込書!AN84=TRUE),申込書!A82,""))</f>
        <v/>
      </c>
      <c r="C30" s="993" t="str">
        <f>IF(B30="","",IF(COUNTIF(祝日!$A$1:$A$108,B30),"祝",WEEKDAY(B30)))</f>
        <v/>
      </c>
      <c r="D30" s="261"/>
      <c r="E30" s="261"/>
      <c r="F30" s="261"/>
      <c r="G30" s="262" t="str">
        <f>IF(申込書!AP84=TRUE,申込書!Z82,"")</f>
        <v/>
      </c>
      <c r="H30" s="250"/>
      <c r="I30" s="195"/>
      <c r="K30" s="1014"/>
      <c r="L30" s="215"/>
      <c r="M30" s="215"/>
      <c r="N30" s="215"/>
      <c r="O30" s="216" t="str">
        <f>G30</f>
        <v/>
      </c>
      <c r="P30" s="218"/>
    </row>
    <row r="31" spans="1:16" ht="18.75" customHeight="1" thickBot="1">
      <c r="A31" s="998"/>
      <c r="B31" s="1002"/>
      <c r="C31" s="994"/>
      <c r="D31" s="245" t="str">
        <f>IF(判定表!G42="","",VLOOKUP(判定表!G42,料金!$E$1:$W$59,7,FALSE))</f>
        <v/>
      </c>
      <c r="E31" s="245" t="str">
        <f>IF(判定表!I42="","",VLOOKUP(判定表!I42,料金!$E$1:$W$59,8,FALSE))</f>
        <v/>
      </c>
      <c r="F31" s="245" t="str">
        <f>IF(判定表!J42="","",VLOOKUP(判定表!J42,料金!$E$1:$W$59,9,FALSE))</f>
        <v/>
      </c>
      <c r="G31" s="252" t="str">
        <f>IF(申込書!AP84=TRUE,IF(G30="7:30～9:30",VLOOKUP(判定表!K42,料金!$E$1:$W$59,14,FALSE),IF(G30="8:00～9:30",VLOOKUP(判定表!K42,料金!$E$1:$W$59,15,FALSE),IF(G30="8:30～9:30",VLOOKUP(判定表!K42,料金!$E$1:$W$59,16,FALSE)))),"")</f>
        <v/>
      </c>
      <c r="H31" s="247">
        <f>SUM(D31:G31)</f>
        <v>0</v>
      </c>
      <c r="I31" s="336"/>
      <c r="K31" s="1014"/>
      <c r="L31" s="212" t="str">
        <f>IF(判定表!M42="","",VLOOKUP(判定表!M42,料金!$E$1:$W$59,7,FALSE))</f>
        <v/>
      </c>
      <c r="M31" s="212" t="str">
        <f>IF(判定表!O42="","",VLOOKUP(判定表!O42,料金!$E$1:$W$59,8,FALSE))</f>
        <v/>
      </c>
      <c r="N31" s="212" t="str">
        <f>IF(判定表!P42="","",VLOOKUP(判定表!P42,料金!$E$1:$W$59,9,FALSE))</f>
        <v/>
      </c>
      <c r="O31" s="213" t="str">
        <f>IF(申込書!AP84=TRUE,IF(O30="7:30～9:30",VLOOKUP(判定表!Q42,料金!$E$1:$W$59,14,FALSE),IF(O30="8:00～9:30",VLOOKUP(判定表!Q42,料金!$E$1:$W$59,15,FALSE),IF(O30="8:30～9:30",VLOOKUP(判定表!Q42,料金!$E$1:$W$59,16,FALSE)))),"")</f>
        <v/>
      </c>
      <c r="P31" s="214">
        <f>SUM(L31:O31)</f>
        <v>0</v>
      </c>
    </row>
    <row r="32" spans="1:16" ht="18.75" customHeight="1" thickBot="1">
      <c r="A32" s="1010" t="s">
        <v>187</v>
      </c>
      <c r="B32" s="1011"/>
      <c r="C32" s="1012"/>
      <c r="D32" s="263" t="s">
        <v>186</v>
      </c>
      <c r="E32" s="263" t="s">
        <v>186</v>
      </c>
      <c r="F32" s="263" t="s">
        <v>186</v>
      </c>
      <c r="G32" s="264" t="s">
        <v>186</v>
      </c>
      <c r="H32" s="265">
        <f>付帯設備備品使用申込書!AG53</f>
        <v>0</v>
      </c>
      <c r="I32" s="336"/>
      <c r="K32" s="233" t="s">
        <v>190</v>
      </c>
      <c r="L32" s="230" t="s">
        <v>186</v>
      </c>
      <c r="M32" s="230" t="s">
        <v>186</v>
      </c>
      <c r="N32" s="230" t="s">
        <v>186</v>
      </c>
      <c r="O32" s="231" t="s">
        <v>186</v>
      </c>
      <c r="P32" s="232">
        <f>H32</f>
        <v>0</v>
      </c>
    </row>
    <row r="33" spans="1:16" ht="33" customHeight="1" thickTop="1" thickBot="1">
      <c r="A33" s="1005" t="s">
        <v>151</v>
      </c>
      <c r="B33" s="1006"/>
      <c r="C33" s="1006"/>
      <c r="D33" s="266">
        <f>SUM(D9,D11,D13,D15,D17,D19,D21,D23,D25,D27,D29,D31)</f>
        <v>0</v>
      </c>
      <c r="E33" s="266">
        <f t="shared" ref="E33" si="0">SUM(E9,E11,E13,E15,E17,E19,E21,E23,E25,E27,E29,E31)</f>
        <v>0</v>
      </c>
      <c r="F33" s="267">
        <f t="shared" ref="F33" si="1">SUM(F9,F11,F13,F15,F17,F19,F21,F23,F25,F27,F29,F31)</f>
        <v>0</v>
      </c>
      <c r="G33" s="268">
        <f t="shared" ref="G33" si="2">SUM(G9,G11,G13,G15,G17,G19,G21,G23,G25,G27,G29,G31)</f>
        <v>0</v>
      </c>
      <c r="H33" s="269">
        <f>SUM(H9,H11,H13,H15,H17,H19,H21,H23,H25,H27,H29,H31,H32)</f>
        <v>0</v>
      </c>
      <c r="I33" s="337"/>
      <c r="K33" s="235" t="s">
        <v>189</v>
      </c>
      <c r="L33" s="236">
        <f>SUM(L9,L11,L13,L15,L17,L19,L21,L23,L25,L27,L29,L31)</f>
        <v>0</v>
      </c>
      <c r="M33" s="236">
        <f t="shared" ref="M33:O33" si="3">SUM(M9,M11,M13,M15,M17,M19,M21,M23,M25,M27,M29,M31)</f>
        <v>0</v>
      </c>
      <c r="N33" s="237">
        <f t="shared" si="3"/>
        <v>0</v>
      </c>
      <c r="O33" s="238">
        <f t="shared" si="3"/>
        <v>0</v>
      </c>
      <c r="P33" s="234">
        <f>SUM(P9,P11,P13,P15,P17,P19,P21,P23,P25,P27,P29,P31,P32)</f>
        <v>0</v>
      </c>
    </row>
    <row r="34" spans="1:16">
      <c r="A34" s="143"/>
      <c r="B34" s="143"/>
      <c r="C34" s="143"/>
      <c r="D34" s="143"/>
      <c r="E34" s="143"/>
      <c r="F34" s="143"/>
      <c r="G34" s="143"/>
      <c r="H34" s="143"/>
      <c r="I34" s="143"/>
    </row>
    <row r="35" spans="1:16">
      <c r="A35" s="143"/>
      <c r="B35" s="143"/>
      <c r="C35" s="143"/>
      <c r="D35" s="143"/>
      <c r="E35" s="143"/>
      <c r="F35" s="143"/>
      <c r="G35" s="143"/>
      <c r="H35" s="143"/>
      <c r="I35" s="143"/>
    </row>
    <row r="36" spans="1:16">
      <c r="A36" s="143"/>
      <c r="B36" s="143"/>
      <c r="C36" s="143"/>
      <c r="D36" s="143"/>
      <c r="E36" s="143"/>
      <c r="F36" s="143"/>
      <c r="G36" s="143"/>
      <c r="H36" s="143"/>
      <c r="I36" s="143"/>
    </row>
    <row r="37" spans="1:16">
      <c r="A37" s="143"/>
      <c r="B37" s="143"/>
      <c r="C37" s="143"/>
      <c r="D37" s="143"/>
      <c r="E37" s="143"/>
      <c r="F37" s="143"/>
      <c r="G37" s="143"/>
      <c r="H37" s="143"/>
      <c r="I37" s="143"/>
    </row>
    <row r="38" spans="1:16">
      <c r="A38" s="143"/>
      <c r="B38" s="143"/>
      <c r="C38" s="143"/>
      <c r="D38" s="143"/>
      <c r="E38" s="143"/>
      <c r="F38" s="143"/>
      <c r="G38" s="143"/>
      <c r="H38" s="143"/>
      <c r="I38" s="143"/>
    </row>
    <row r="39" spans="1:16" ht="12.75" thickBot="1"/>
    <row r="40" spans="1:16" ht="24" customHeight="1" thickBot="1">
      <c r="F40" s="1000" t="s">
        <v>188</v>
      </c>
      <c r="G40" s="1001"/>
      <c r="H40" s="239">
        <f>SUM(H9,H11,H13,H15,H17,H19,H21,H23,H25,H27,H29,H31)</f>
        <v>0</v>
      </c>
      <c r="N40" s="1007" t="s">
        <v>188</v>
      </c>
      <c r="O40" s="1008"/>
      <c r="P40" s="239">
        <f>SUM(P9,P11,P13,P15,P17,P19,P21,P23,P25,P27,P29,P31)</f>
        <v>0</v>
      </c>
    </row>
  </sheetData>
  <mergeCells count="43">
    <mergeCell ref="A3:H4"/>
    <mergeCell ref="P6:P7"/>
    <mergeCell ref="K6:K7"/>
    <mergeCell ref="O6:O7"/>
    <mergeCell ref="A6:C7"/>
    <mergeCell ref="G6:G7"/>
    <mergeCell ref="H6:H7"/>
    <mergeCell ref="K5:P5"/>
    <mergeCell ref="B10:B11"/>
    <mergeCell ref="C10:C11"/>
    <mergeCell ref="K8:K15"/>
    <mergeCell ref="B8:B9"/>
    <mergeCell ref="C8:C9"/>
    <mergeCell ref="B12:B13"/>
    <mergeCell ref="C12:C13"/>
    <mergeCell ref="N40:O40"/>
    <mergeCell ref="A5:G5"/>
    <mergeCell ref="A32:C32"/>
    <mergeCell ref="K16:K23"/>
    <mergeCell ref="B16:B17"/>
    <mergeCell ref="C16:C17"/>
    <mergeCell ref="B14:B15"/>
    <mergeCell ref="C14:C15"/>
    <mergeCell ref="A8:A15"/>
    <mergeCell ref="B20:B21"/>
    <mergeCell ref="C20:C21"/>
    <mergeCell ref="B18:B19"/>
    <mergeCell ref="C18:C19"/>
    <mergeCell ref="K24:K31"/>
    <mergeCell ref="A24:A31"/>
    <mergeCell ref="B24:B25"/>
    <mergeCell ref="C22:C23"/>
    <mergeCell ref="B22:B23"/>
    <mergeCell ref="A16:A23"/>
    <mergeCell ref="F40:G40"/>
    <mergeCell ref="B26:B27"/>
    <mergeCell ref="C26:C27"/>
    <mergeCell ref="C24:C25"/>
    <mergeCell ref="A33:C33"/>
    <mergeCell ref="B30:B31"/>
    <mergeCell ref="C30:C31"/>
    <mergeCell ref="B28:B29"/>
    <mergeCell ref="C28:C29"/>
  </mergeCells>
  <phoneticPr fontId="4"/>
  <dataValidations count="1">
    <dataValidation type="list" allowBlank="1" showInputMessage="1" showErrorMessage="1" sqref="L2" xr:uid="{00000000-0002-0000-0500-000000000000}">
      <formula1>"○,×,◎"</formula1>
    </dataValidation>
  </dataValidations>
  <pageMargins left="0.51181102362204722" right="0.51181102362204722"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X44"/>
  <sheetViews>
    <sheetView workbookViewId="0">
      <selection activeCell="N30" sqref="N30:AH32"/>
    </sheetView>
  </sheetViews>
  <sheetFormatPr defaultColWidth="9" defaultRowHeight="13.5"/>
  <cols>
    <col min="1" max="1" width="7.125" bestFit="1" customWidth="1"/>
    <col min="2" max="2" width="2.5" bestFit="1" customWidth="1"/>
    <col min="3" max="3" width="7.75" customWidth="1"/>
    <col min="4" max="4" width="5.125" customWidth="1"/>
    <col min="5" max="5" width="2.5" bestFit="1" customWidth="1"/>
    <col min="6" max="6" width="8.5" customWidth="1"/>
    <col min="7" max="7" width="5.375" customWidth="1"/>
    <col min="8" max="8" width="2.5" bestFit="1" customWidth="1"/>
    <col min="9" max="10" width="7.75" customWidth="1"/>
    <col min="11" max="11" width="8.5" customWidth="1"/>
    <col min="12" max="12" width="2.25" customWidth="1"/>
    <col min="13" max="14" width="5" customWidth="1"/>
    <col min="18" max="18" width="3.75" customWidth="1"/>
    <col min="19" max="21" width="8.75" customWidth="1"/>
    <col min="22" max="24" width="12.375" bestFit="1" customWidth="1"/>
  </cols>
  <sheetData>
    <row r="1" spans="1:24" ht="14.25" thickBot="1">
      <c r="C1" s="154"/>
      <c r="D1" s="154"/>
      <c r="E1" s="1077"/>
      <c r="F1" s="1077"/>
      <c r="G1" s="155"/>
    </row>
    <row r="2" spans="1:24" ht="14.25" thickBot="1">
      <c r="B2" s="1061" t="s">
        <v>175</v>
      </c>
      <c r="C2" s="1063"/>
      <c r="D2" s="172" t="str">
        <f>IF(AND(申込書!AM17=1,OR(申込書!W29="本部経費",申込書!W29="振込")),1,IF(AND(申込書!AM17=1,申込書!W29="部局振替"),2,IF(申込書!AM17=2,3,IF(申込書!AM17=3,4,IF(申込書!AM17=4,5,IF(申込書!AM17=5,6,IF(申込書!AM17=6,7,IF(申込書!AM17=7,8,""))))))))</f>
        <v/>
      </c>
      <c r="E2" s="1067" t="s">
        <v>176</v>
      </c>
      <c r="F2" s="1063"/>
      <c r="G2" s="156" t="str">
        <f>IF(D2="","",IF(OR(D2=1,D2=2),2,IF(D2=3,5,IF(AND(D2=4,申込書!E42="無料"),2,IF(AND(D2=4,申込書!E42="有料"),3,IF(D2=5,3,IF(D2=6,3,IF(D2=7,4,IF(AND(D2=8,申込書!AM34=3),6,IF(D2=8,1,""))))))))))</f>
        <v/>
      </c>
      <c r="H2" s="1069" t="s">
        <v>46</v>
      </c>
      <c r="I2" s="1069"/>
      <c r="J2" s="172" t="str">
        <f>IF(申込書!E42="","",IF(申込書!E42="無料",1,IF(申込書!S42&lt;=500,2,IF(申込書!S42&lt;=3000,3,IF(申込書!S42&lt;=5000,4,IF(申込書!S42&gt;=5001,5,""))))))</f>
        <v/>
      </c>
      <c r="K2" s="156" t="str">
        <f>IF(OR(G2=2,G2=4,G2=5,G2=6),6,IF(OR(J2=1,J2=2),1,IF(OR(J2=1,J2=2),1,IF(J2=3,2,IF(J2=4,3,IF(J2=5,4,""))))))</f>
        <v/>
      </c>
    </row>
    <row r="3" spans="1:24" ht="14.25" thickBot="1">
      <c r="B3" s="157">
        <v>1</v>
      </c>
      <c r="C3" s="1064" t="s">
        <v>120</v>
      </c>
      <c r="D3" s="1065"/>
      <c r="E3" s="158">
        <v>1</v>
      </c>
      <c r="F3" s="1064" t="s">
        <v>127</v>
      </c>
      <c r="G3" s="1068"/>
      <c r="H3" s="159">
        <v>1</v>
      </c>
      <c r="I3" s="1064">
        <v>0</v>
      </c>
      <c r="J3" s="1068"/>
      <c r="K3" s="160"/>
    </row>
    <row r="4" spans="1:24">
      <c r="B4" s="157">
        <v>2</v>
      </c>
      <c r="C4" s="1064" t="s">
        <v>121</v>
      </c>
      <c r="D4" s="1066"/>
      <c r="E4" s="161">
        <v>2</v>
      </c>
      <c r="F4" s="1064" t="s">
        <v>103</v>
      </c>
      <c r="G4" s="1066"/>
      <c r="H4" s="159">
        <v>2</v>
      </c>
      <c r="I4" s="1064" t="s">
        <v>150</v>
      </c>
      <c r="J4" s="1066"/>
      <c r="K4" s="160"/>
    </row>
    <row r="5" spans="1:24">
      <c r="B5" s="157">
        <v>3</v>
      </c>
      <c r="C5" s="1064" t="s">
        <v>111</v>
      </c>
      <c r="D5" s="1066"/>
      <c r="E5" s="159">
        <v>3</v>
      </c>
      <c r="F5" s="1064" t="s">
        <v>106</v>
      </c>
      <c r="G5" s="1066"/>
      <c r="H5" s="159">
        <v>3</v>
      </c>
      <c r="I5" s="1064" t="s">
        <v>129</v>
      </c>
      <c r="J5" s="1066"/>
      <c r="K5" s="160"/>
    </row>
    <row r="6" spans="1:24">
      <c r="B6" s="157">
        <v>4</v>
      </c>
      <c r="C6" s="1064" t="s">
        <v>122</v>
      </c>
      <c r="D6" s="1066"/>
      <c r="E6" s="159">
        <v>4</v>
      </c>
      <c r="F6" s="1064" t="s">
        <v>128</v>
      </c>
      <c r="G6" s="1066"/>
      <c r="H6" s="159">
        <v>4</v>
      </c>
      <c r="I6" s="1064" t="s">
        <v>130</v>
      </c>
      <c r="J6" s="1066"/>
      <c r="K6" s="160"/>
    </row>
    <row r="7" spans="1:24">
      <c r="B7" s="157">
        <v>5</v>
      </c>
      <c r="C7" s="1064" t="s">
        <v>123</v>
      </c>
      <c r="D7" s="1066"/>
      <c r="E7" s="159">
        <v>5</v>
      </c>
      <c r="F7" s="1064" t="s">
        <v>111</v>
      </c>
      <c r="G7" s="1066"/>
      <c r="H7" s="159">
        <v>5</v>
      </c>
      <c r="I7" s="1064" t="s">
        <v>131</v>
      </c>
      <c r="J7" s="1066"/>
      <c r="K7" s="160"/>
    </row>
    <row r="8" spans="1:24">
      <c r="B8" s="157">
        <v>6</v>
      </c>
      <c r="C8" s="1064" t="s">
        <v>124</v>
      </c>
      <c r="D8" s="1066"/>
      <c r="E8" s="159">
        <v>6</v>
      </c>
      <c r="F8" s="1064" t="s">
        <v>38</v>
      </c>
      <c r="G8" s="1066"/>
      <c r="I8" s="162"/>
      <c r="J8" s="162"/>
      <c r="K8" s="162"/>
    </row>
    <row r="9" spans="1:24">
      <c r="B9" s="157">
        <v>7</v>
      </c>
      <c r="C9" s="1064" t="s">
        <v>125</v>
      </c>
      <c r="D9" s="1066"/>
      <c r="F9" s="162"/>
      <c r="G9" s="162"/>
      <c r="I9" s="162"/>
      <c r="J9" s="162"/>
      <c r="K9" s="162"/>
    </row>
    <row r="10" spans="1:24">
      <c r="B10" s="157">
        <v>8</v>
      </c>
      <c r="C10" s="1064" t="s">
        <v>22</v>
      </c>
      <c r="D10" s="1066"/>
      <c r="F10" s="162"/>
      <c r="G10" s="162"/>
      <c r="I10" s="162"/>
      <c r="J10" s="162"/>
      <c r="K10" s="162"/>
      <c r="V10" s="162"/>
    </row>
    <row r="13" spans="1:24" ht="14.25" thickBot="1">
      <c r="M13" t="s">
        <v>174</v>
      </c>
      <c r="S13" t="s">
        <v>254</v>
      </c>
    </row>
    <row r="14" spans="1:24">
      <c r="A14" s="185" t="s">
        <v>163</v>
      </c>
      <c r="B14" s="1060" t="s">
        <v>153</v>
      </c>
      <c r="C14" s="1060"/>
      <c r="D14" s="1060" t="s">
        <v>154</v>
      </c>
      <c r="E14" s="1061"/>
      <c r="F14" s="163" t="s">
        <v>155</v>
      </c>
      <c r="G14" s="1062" t="s">
        <v>156</v>
      </c>
      <c r="H14" s="1060"/>
      <c r="I14" s="185" t="s">
        <v>157</v>
      </c>
      <c r="J14" s="185" t="s">
        <v>158</v>
      </c>
      <c r="K14" s="185" t="s">
        <v>162</v>
      </c>
      <c r="M14" s="1062" t="s">
        <v>50</v>
      </c>
      <c r="N14" s="1060"/>
      <c r="O14" s="185" t="s">
        <v>52</v>
      </c>
      <c r="P14" s="185" t="s">
        <v>54</v>
      </c>
      <c r="Q14" s="185" t="s">
        <v>162</v>
      </c>
      <c r="S14" s="185" t="s">
        <v>153</v>
      </c>
      <c r="T14" s="185" t="s">
        <v>154</v>
      </c>
      <c r="U14" s="163" t="s">
        <v>155</v>
      </c>
      <c r="V14" s="185" t="s">
        <v>245</v>
      </c>
      <c r="W14" s="185" t="s">
        <v>246</v>
      </c>
      <c r="X14" s="185" t="s">
        <v>249</v>
      </c>
    </row>
    <row r="15" spans="1:24" ht="14.25" thickBot="1">
      <c r="A15" s="1048" t="s">
        <v>164</v>
      </c>
      <c r="B15" s="1070" t="str">
        <f>IF(申込書!A64&lt;&gt;"",WEEKDAY(申込書!A64,1),"")</f>
        <v/>
      </c>
      <c r="C15" s="1071"/>
      <c r="D15" s="1070" t="str">
        <f>IF(申込書!A64&lt;&gt;"",IF(COUNTIF(祝日!$A$1:$A$109,申込書!A64),1,0),"")</f>
        <v/>
      </c>
      <c r="E15" s="1074"/>
      <c r="F15" s="1046" t="str">
        <f>IF(申込書!A64="","",IF(OR($G$2=2,$G$2=5),5,IF(D15=1,2,IF(OR(B15=1,B15=7),2,1))))</f>
        <v/>
      </c>
      <c r="G15" s="1057" t="str">
        <f>IF(申込書!H64="","",IF($G$2=2,5,IF(OR(申込書!H64="準備",申込書!H64="リハーサル"),2,1)))</f>
        <v/>
      </c>
      <c r="H15" s="1058"/>
      <c r="I15" s="171" t="str">
        <f>IF(申込書!N64="","",IF($G$2=2,5,IF(OR(申込書!N64="準備",申込書!N64="リハーサル"),2,1)))</f>
        <v/>
      </c>
      <c r="J15" s="171" t="str">
        <f>IF(申込書!T64="","",IF($G$2=2,5,IF(OR(申込書!T64="準備",申込書!T64="リハーサル"),2,1)))</f>
        <v/>
      </c>
      <c r="K15" s="171" t="str">
        <f>IF(申込書!Z64="","",IF($G$2=2,5,IF(OR(申込書!Z65="準備",申込書!Z65="リハーサル"),2,1)))</f>
        <v/>
      </c>
      <c r="M15" s="1057" t="str">
        <f>IF(G15="","",IF(OR(申込書!H64="準備",申込書!H64="リハーサル"),2,1))</f>
        <v/>
      </c>
      <c r="N15" s="1058"/>
      <c r="O15" s="171" t="str">
        <f>IF(I15="","",IF(OR(申込書!N64="準備",申込書!N64="リハーサル"),2,1))</f>
        <v/>
      </c>
      <c r="P15" s="171" t="str">
        <f>IF(J15="","",IF(OR(申込書!T64="準備",申込書!T64="リハーサル"),2,1))</f>
        <v/>
      </c>
      <c r="Q15" s="171" t="str">
        <f>IF(K15="","",IF(OR(申込書!Z65="準備",申込書!Z65="リハーサル"),2,1))</f>
        <v/>
      </c>
      <c r="S15" s="1042" t="str">
        <f>IF(延長使用届!A32&lt;&gt;"",WEEKDAY(延長使用届!A32,1),"")</f>
        <v/>
      </c>
      <c r="T15" s="1044" t="str">
        <f>IF(延長使用届!A32&lt;&gt;"",IF(COUNTIF(祝日!$A$1:$A$109,延長使用届!A32),1,0),"")</f>
        <v/>
      </c>
      <c r="U15" s="1046" t="str">
        <f>IF(延長使用届!A32="","",IF(OR($G$2=2,$G$2=5),5,IF(T15=1,2,IF(OR(S15=1,S15=7),2,1))))</f>
        <v/>
      </c>
      <c r="V15" s="171" t="str">
        <f>IF(延長使用届!H32="","",IF($G$2=2,5,IF(OR(延長使用届!H32="準備",延長使用届!H32="リハーサル"),2,1)))</f>
        <v/>
      </c>
      <c r="W15" s="171" t="str">
        <f>IF(延長使用届!N32="","",IF($G$2=2,5,IF(OR(延長使用届!N32="準備",延長使用届!N32="リハーサル"),2,1)))</f>
        <v/>
      </c>
      <c r="X15" s="171" t="str">
        <f>IF(延長使用届!T32="","",IF($G$2=2,5,IF(OR(延長使用届!T32="準備",延長使用届!T32="リハーサル"),2,1)))</f>
        <v/>
      </c>
    </row>
    <row r="16" spans="1:24" ht="14.25" thickBot="1">
      <c r="A16" s="1049"/>
      <c r="B16" s="1072"/>
      <c r="C16" s="1073"/>
      <c r="D16" s="1072"/>
      <c r="E16" s="1075"/>
      <c r="F16" s="1076"/>
      <c r="G16" s="1059" t="str">
        <f>IF(G15="","",CONCATENATE($G$2,$K$2,F15,G15))</f>
        <v/>
      </c>
      <c r="H16" s="1059"/>
      <c r="I16" s="184" t="str">
        <f>IF(I15="","",CONCATENATE($G$2,$K$2,$F$15,I15))</f>
        <v/>
      </c>
      <c r="J16" s="184" t="str">
        <f>IF(J15="","",CONCATENATE($G$2,$K$2,$F$15,J15))</f>
        <v/>
      </c>
      <c r="K16" s="184" t="str">
        <f>IF(K15="","",CONCATENATE($G$2,$K$2,$F$15,K15))</f>
        <v/>
      </c>
      <c r="M16" s="1059" t="str">
        <f>IF(M15="","",CONCATENATE($E$3,IF(OR($J$2=1,$J$2=2),1,IF($J$2=3,2,IF($J$2=4,3,IF($J$2=5,4,0)))),IF(OR(B15=1,B15=7,D15=1),2,1),M15))</f>
        <v/>
      </c>
      <c r="N16" s="1059"/>
      <c r="O16" s="184" t="str">
        <f>IF(O15="","",CONCATENATE($E$3,IF(OR($J$2=1,$J$2=2),1,IF($J$2=3,2,IF($J$2=4,3,IF($J$2=5,4,0)))),IF(OR(B15=1,B15=7,D15=1),2,1),O15))</f>
        <v/>
      </c>
      <c r="P16" s="184" t="str">
        <f>IF(P15="","",CONCATENATE($E$3,IF(OR($J$2=1,$J$2=2),1,IF($J$2=3,2,IF($J$2=4,3,IF($J$2=5,4,0)))),IF(OR(B15=1,B15=7,D15=1),2,1),P15))</f>
        <v/>
      </c>
      <c r="Q16" s="184" t="str">
        <f>IF(Q15="","",CONCATENATE($E$3,IF(OR($J$2=1,$J$2=2),1,IF($J$2=3,2,IF($J$2=4,3,IF($J$2=5,4,0)))),IF(OR(B15=1,B15=7,D15=1),2,1),Q15))</f>
        <v/>
      </c>
      <c r="S16" s="1043"/>
      <c r="T16" s="1045"/>
      <c r="U16" s="1047"/>
      <c r="V16" s="184" t="str">
        <f>IF(V15="","",CONCATENATE($G$2,$K$2,$U$15,V15))</f>
        <v/>
      </c>
      <c r="W16" s="184" t="str">
        <f>IF(W15="","",CONCATENATE($G$2,$K$2,$U$15,W15))</f>
        <v/>
      </c>
      <c r="X16" s="184" t="str">
        <f>IF(X15="","",CONCATENATE($G$2,$K$2,$U$15,X15))</f>
        <v/>
      </c>
    </row>
    <row r="17" spans="1:24" ht="14.25" thickBot="1">
      <c r="A17" s="1048" t="s">
        <v>165</v>
      </c>
      <c r="B17" s="1070" t="str">
        <f>IF(申込書!A66&lt;&gt;"",WEEKDAY(申込書!A66,1),"")</f>
        <v/>
      </c>
      <c r="C17" s="1071"/>
      <c r="D17" s="1070" t="str">
        <f>IF(申込書!A66&lt;&gt;"",IF(COUNTIF(祝日!$A$1:$A$109,申込書!A66),1,0),"")</f>
        <v/>
      </c>
      <c r="E17" s="1074"/>
      <c r="F17" s="1046" t="str">
        <f>IF(申込書!A66="","",IF(OR($G$2=2,$G$2=5),5,IF(D17=1,2,IF(OR(B17=1,B17=7),2,1))))</f>
        <v/>
      </c>
      <c r="G17" s="1057" t="str">
        <f>IF(申込書!H66="","",IF($G$2=2,5,IF(OR(申込書!H66="準備",申込書!H66="リハーサル"),2,1)))</f>
        <v/>
      </c>
      <c r="H17" s="1058"/>
      <c r="I17" s="171" t="str">
        <f>IF(申込書!N66="","",IF($G$2=2,5,IF(OR(申込書!N66="準備",申込書!N66="リハーサル"),2,1)))</f>
        <v/>
      </c>
      <c r="J17" s="171" t="str">
        <f>IF(申込書!T66="","",IF($G$2=2,5,IF(OR(申込書!T66="準備",申込書!T66="リハーサル"),2,1)))</f>
        <v/>
      </c>
      <c r="K17" s="171" t="str">
        <f>IF(申込書!Z66="","",IF($G$2=2,5,IF(OR(申込書!Z67="準備",申込書!Z67="リハーサル"),2,1)))</f>
        <v/>
      </c>
      <c r="M17" s="1057" t="str">
        <f>IF(G17="","",IF(OR(申込書!H66="準備",申込書!H66="リハーサル"),2,1))</f>
        <v/>
      </c>
      <c r="N17" s="1058"/>
      <c r="O17" s="171" t="str">
        <f>IF(I17="","",IF(OR(申込書!N66="準備",申込書!N66="リハーサル"),2,1))</f>
        <v/>
      </c>
      <c r="P17" s="171" t="str">
        <f>IF(J17="","",IF(OR(申込書!T66="準備",申込書!T66="リハーサル"),2,1))</f>
        <v/>
      </c>
      <c r="Q17" s="171" t="str">
        <f>IF(K17="","",IF(OR(申込書!Z67="準備",申込書!Z67="リハーサル"),2,1))</f>
        <v/>
      </c>
      <c r="V17" s="176"/>
      <c r="W17" s="176"/>
    </row>
    <row r="18" spans="1:24" ht="14.25" thickBot="1">
      <c r="A18" s="1049"/>
      <c r="B18" s="1072"/>
      <c r="C18" s="1073"/>
      <c r="D18" s="1072"/>
      <c r="E18" s="1075"/>
      <c r="F18" s="1076"/>
      <c r="G18" s="1059" t="str">
        <f>IF(G17="","",CONCATENATE($G$2,$K$2,$F$17,G17))</f>
        <v/>
      </c>
      <c r="H18" s="1059"/>
      <c r="I18" s="184" t="str">
        <f>IF(I17="","",CONCATENATE($G$2,$K$2,$F$17,I17))</f>
        <v/>
      </c>
      <c r="J18" s="184" t="str">
        <f>IF(J17="","",CONCATENATE($G$2,$K$2,$F$17,J17))</f>
        <v/>
      </c>
      <c r="K18" s="184" t="str">
        <f>IF(K17="","",CONCATENATE($G$2,$K$2,$F$17,K17))</f>
        <v/>
      </c>
      <c r="M18" s="1059" t="str">
        <f>IF(M17="","",CONCATENATE($E$3,IF(OR($J$2=1,$J$2=2),1,IF($J$2=3,2,IF($J$2=4,3,IF($J$2=5,4,0)))),IF(OR(B17=1,B17=7,D17=1),2,1),M17))</f>
        <v/>
      </c>
      <c r="N18" s="1059"/>
      <c r="O18" s="184" t="str">
        <f>IF(O17="","",CONCATENATE($E$3,IF(OR($J$2=1,$J$2=2),1,IF($J$2=3,2,IF($J$2=4,3,IF($J$2=5,4,0)))),IF(OR(B17=1,B17=7,D17=1),2,1),O17))</f>
        <v/>
      </c>
      <c r="P18" s="184" t="str">
        <f>IF(P17="","",CONCATENATE($E$3,IF(OR($J$2=1,$J$2=2),1,IF($J$2=3,2,IF($J$2=4,3,IF($J$2=5,4,0)))),IF(OR(B17=1,B17=7,D17=1),2,1),P17))</f>
        <v/>
      </c>
      <c r="Q18" s="184" t="str">
        <f>IF(Q17="","",CONCATENATE($E$3,IF(OR($J$2=1,$J$2=2),1,IF($J$2=3,2,IF($J$2=4,3,IF($J$2=5,4,0)))),IF(OR(B17=1,B17=7,D17=1),2,1),Q17))</f>
        <v/>
      </c>
      <c r="S18" t="s">
        <v>255</v>
      </c>
    </row>
    <row r="19" spans="1:24" ht="14.25" thickBot="1">
      <c r="A19" s="1048" t="s">
        <v>166</v>
      </c>
      <c r="B19" s="1070" t="str">
        <f>IF(申込書!A68&lt;&gt;"",WEEKDAY(申込書!A68,1),"")</f>
        <v/>
      </c>
      <c r="C19" s="1071"/>
      <c r="D19" s="1070" t="str">
        <f>IF(申込書!A68&lt;&gt;"",IF(COUNTIF(祝日!$A$1:$A$109,申込書!A68),1,0),"")</f>
        <v/>
      </c>
      <c r="E19" s="1074"/>
      <c r="F19" s="1046" t="str">
        <f>IF(申込書!A68="","",IF(OR($G$2=2,$G$2=5),5,IF(D19=1,2,IF(OR(B19=1,B19=7),2,1))))</f>
        <v/>
      </c>
      <c r="G19" s="1057" t="str">
        <f>IF(申込書!H68="","",IF($G$2=2,5,IF(OR(申込書!H68="準備",申込書!H68="リハーサル"),2,1)))</f>
        <v/>
      </c>
      <c r="H19" s="1058"/>
      <c r="I19" s="171" t="str">
        <f>IF(申込書!N68="","",IF($G$2=2,5,IF(OR(申込書!N68="準備",申込書!N68="リハーサル"),2,1)))</f>
        <v/>
      </c>
      <c r="J19" s="171" t="str">
        <f>IF(申込書!T68="","",IF($G$2=2,5,IF(OR(申込書!T68="準備",申込書!T68="リハーサル"),2,1)))</f>
        <v/>
      </c>
      <c r="K19" s="171" t="str">
        <f>IF(申込書!Z68="","",IF($G$2=2,5,IF(OR(申込書!Z69="準備",申込書!Z69="リハーサル"),2,1)))</f>
        <v/>
      </c>
      <c r="M19" s="1057" t="str">
        <f>IF(G19="","",IF(OR(申込書!H68="準備",申込書!H68="リハーサル"),2,1))</f>
        <v/>
      </c>
      <c r="N19" s="1058"/>
      <c r="O19" s="171" t="str">
        <f>IF(I19="","",IF(OR(申込書!N68="準備",申込書!N68="リハーサル"),2,1))</f>
        <v/>
      </c>
      <c r="P19" s="171" t="str">
        <f>IF(J19="","",IF(OR(申込書!T68="準備",申込書!T68="リハーサル"),2,1))</f>
        <v/>
      </c>
      <c r="Q19" s="171" t="str">
        <f>IF(K19="","",IF(OR(申込書!Z69="準備",申込書!Z69="リハーサル"),2,1))</f>
        <v/>
      </c>
      <c r="S19" s="185" t="s">
        <v>153</v>
      </c>
      <c r="T19" s="185" t="s">
        <v>154</v>
      </c>
      <c r="U19" s="163" t="s">
        <v>97</v>
      </c>
      <c r="V19" s="185" t="s">
        <v>237</v>
      </c>
      <c r="W19" s="185" t="s">
        <v>239</v>
      </c>
      <c r="X19" s="185" t="s">
        <v>240</v>
      </c>
    </row>
    <row r="20" spans="1:24" ht="14.25" thickBot="1">
      <c r="A20" s="1049"/>
      <c r="B20" s="1072"/>
      <c r="C20" s="1073"/>
      <c r="D20" s="1072"/>
      <c r="E20" s="1075"/>
      <c r="F20" s="1076"/>
      <c r="G20" s="1059" t="str">
        <f>IF(G19="","",CONCATENATE($G$2,$K$2,$F$19,G19))</f>
        <v/>
      </c>
      <c r="H20" s="1059"/>
      <c r="I20" s="184" t="str">
        <f>IF(I19="","",CONCATENATE($G$2,$K$2,$F$19,I19))</f>
        <v/>
      </c>
      <c r="J20" s="184" t="str">
        <f>IF(J19="","",CONCATENATE($G$2,$K$2,$F$19,J19))</f>
        <v/>
      </c>
      <c r="K20" s="184" t="str">
        <f>IF(K19="","",CONCATENATE($G$2,$K$2,$F$19,K19))</f>
        <v/>
      </c>
      <c r="M20" s="1059" t="str">
        <f>IF(M19="","",CONCATENATE($E$3,IF(OR($J$2=1,$J$2=2),1,IF($J$2=3,2,IF($J$2=4,3,IF($J$2=5,4,0)))),IF(OR(B19=1,B19=7,D19=1),2,1),M19))</f>
        <v/>
      </c>
      <c r="N20" s="1059"/>
      <c r="O20" s="184" t="str">
        <f>IF(O19="","",CONCATENATE($E$3,IF(OR($J$2=1,$J$2=2),1,IF($J$2=3,2,IF($J$2=4,3,IF($J$2=5,4,0)))),IF(OR(B19=1,B19=7,D19=1),2,1),O19))</f>
        <v/>
      </c>
      <c r="P20" s="184" t="str">
        <f>IF(P19="","",CONCATENATE($E$3,IF(OR($J$2=1,$J$2=2),1,IF($J$2=3,2,IF($J$2=4,3,IF($J$2=5,4,0)))),IF(OR(B19=1,B19=7,D19=1),2,1),P19))</f>
        <v/>
      </c>
      <c r="Q20" s="184" t="str">
        <f>IF(Q19="","",CONCATENATE($E$3,IF(OR($J$2=1,$J$2=2),1,IF($J$2=3,2,IF($J$2=4,3,IF($J$2=5,4,0)))),IF(OR(B19=1,B19=7,D19=1),2,1),Q19))</f>
        <v/>
      </c>
      <c r="S20" s="1042" t="str">
        <f>IF(延長使用届!A32&lt;&gt;"",WEEKDAY(延長使用届!A32,1),"")</f>
        <v/>
      </c>
      <c r="T20" s="1044" t="str">
        <f>IF(延長使用届!A32&lt;&gt;"",IF(COUNTIF(祝日!$A$1:$A$109,延長使用届!A32),1,0),"")</f>
        <v/>
      </c>
      <c r="U20" s="1046" t="str">
        <f>IF(延長使用届!A32="","",IF(T20=1,2,IF(OR(S20=1,S20=7),2,1)))</f>
        <v/>
      </c>
      <c r="V20" s="171" t="str">
        <f>IF(延長使用届!H32="","",IF(OR(延長使用届!H32="準備",延長使用届!H32="リハーサル"),2,1))</f>
        <v/>
      </c>
      <c r="W20" s="171" t="str">
        <f>IF(延長使用届!N32="","",IF(OR(延長使用届!N32="準備",延長使用届!N32="リハーサル"),2,1))</f>
        <v/>
      </c>
      <c r="X20" s="171" t="str">
        <f>IF(延長使用届!T32="","",IF(OR(延長使用届!T32="準備",延長使用届!T32="リハーサル"),2,1))</f>
        <v/>
      </c>
    </row>
    <row r="21" spans="1:24" ht="14.25" thickBot="1">
      <c r="A21" s="1048" t="s">
        <v>167</v>
      </c>
      <c r="B21" s="1070" t="str">
        <f>IF(申込書!A70&lt;&gt;"",WEEKDAY(申込書!A70,1),"")</f>
        <v/>
      </c>
      <c r="C21" s="1071"/>
      <c r="D21" s="1070" t="str">
        <f>IF(申込書!A70&lt;&gt;"",IF(COUNTIF(祝日!$A$1:$A$109,申込書!A70),1,0),"")</f>
        <v/>
      </c>
      <c r="E21" s="1074"/>
      <c r="F21" s="1046" t="str">
        <f>IF(申込書!A70="","",IF(OR($G$2=2,$G$2=5),5,IF(D21=1,2,IF(OR(B21=1,B21=7),2,1))))</f>
        <v/>
      </c>
      <c r="G21" s="1057" t="str">
        <f>IF(申込書!H70="","",IF($G$2=2,5,IF(OR(申込書!H70="準備",申込書!H70="リハーサル"),2,1)))</f>
        <v/>
      </c>
      <c r="H21" s="1058"/>
      <c r="I21" s="171" t="str">
        <f>IF(申込書!N70="","",IF($G$2=2,5,IF(OR(申込書!N70="準備",申込書!N70="リハーサル"),2,1)))</f>
        <v/>
      </c>
      <c r="J21" s="171" t="str">
        <f>IF(申込書!T70="","",IF($G$2=2,5,IF(OR(申込書!T70="準備",申込書!T70="リハーサル"),2,1)))</f>
        <v/>
      </c>
      <c r="K21" s="171" t="str">
        <f>IF(申込書!Z70="","",IF($G$2=2,5,IF(OR(申込書!Z71="準備",申込書!Z71="リハーサル"),2,1)))</f>
        <v/>
      </c>
      <c r="M21" s="1057" t="str">
        <f>IF(G21="","",IF(OR(申込書!H70="準備",申込書!H70="リハーサル"),2,1))</f>
        <v/>
      </c>
      <c r="N21" s="1058"/>
      <c r="O21" s="171" t="str">
        <f>IF(I21="","",IF(OR(申込書!N70="準備",申込書!N70="リハーサル"),2,1))</f>
        <v/>
      </c>
      <c r="P21" s="171" t="str">
        <f>IF(J21="","",IF(OR(申込書!T70="準備",申込書!T70="リハーサル"),2,1))</f>
        <v/>
      </c>
      <c r="Q21" s="171" t="str">
        <f>IF(K21="","",IF(OR(申込書!Z71="準備",申込書!Z71="リハーサル"),2,1))</f>
        <v/>
      </c>
      <c r="S21" s="1043"/>
      <c r="T21" s="1045"/>
      <c r="U21" s="1047"/>
      <c r="V21" s="184" t="str">
        <f>IF(V20="","",CONCATENATE($E$3,IF(OR($J$2=1,$J$2=2),1,IF($J$2=3,2,IF($J$2=4,3,IF($J$2=5,4,0)))),IF(OR(B15=1,B15=7,D15=1),2,1),V20))</f>
        <v/>
      </c>
      <c r="W21" s="184" t="str">
        <f>IF(W20="","",CONCATENATE($E$3,IF(OR($J$2=1,$J$2=2),1,IF($J$2=3,2,IF($J$2=4,3,IF($J$2=5,4,0)))),IF(OR(B15=1,B15=7,D15=1),2,1),W20))</f>
        <v/>
      </c>
      <c r="X21" s="184" t="str">
        <f>IF(X20="","",CONCATENATE($E$3,IF(OR($J$2=1,$J$2=2),1,IF($J$2=3,2,IF($J$2=4,3,IF($J$2=5,4,0)))),IF(OR(B15=1,B15=7,D15=1),2,1),X20))</f>
        <v/>
      </c>
    </row>
    <row r="22" spans="1:24" ht="14.25" thickBot="1">
      <c r="A22" s="1049"/>
      <c r="B22" s="1072"/>
      <c r="C22" s="1073"/>
      <c r="D22" s="1072"/>
      <c r="E22" s="1075"/>
      <c r="F22" s="1076"/>
      <c r="G22" s="1059" t="str">
        <f>IF(G21="","",CONCATENATE($G$2,$K$2,$F$21,G21))</f>
        <v/>
      </c>
      <c r="H22" s="1059"/>
      <c r="I22" s="184" t="str">
        <f>IF(I21="","",CONCATENATE($G$2,$K$2,$F$21,I21))</f>
        <v/>
      </c>
      <c r="J22" s="184" t="str">
        <f>IF(J21="","",CONCATENATE($G$2,$K$2,$F$21,J21))</f>
        <v/>
      </c>
      <c r="K22" s="184" t="str">
        <f>IF(K21="","",CONCATENATE($G$2,$K$2,$F$21,K21))</f>
        <v/>
      </c>
      <c r="M22" s="1059" t="str">
        <f>IF(M21="","",CONCATENATE($E$3,IF(OR($J$2=1,$J$2=2),1,IF($J$2=3,2,IF($J$2=4,3,IF($J$2=5,4,0)))),IF(OR(B21=1,B21=7,D21=1),2,1),M21))</f>
        <v/>
      </c>
      <c r="N22" s="1059"/>
      <c r="O22" s="184" t="str">
        <f>IF(O21="","",CONCATENATE($E$3,IF(OR($J$2=1,$J$2=2),1,IF($J$2=3,2,IF($J$2=4,3,IF($J$2=5,4,0)))),IF(OR(B21=1,B21=7,D21=1),2,1),O21))</f>
        <v/>
      </c>
      <c r="P22" s="184" t="str">
        <f>IF(P21="","",CONCATENATE($E$3,IF(OR($J$2=1,$J$2=2),1,IF($J$2=3,2,IF($J$2=4,3,IF($J$2=5,4,0)))),IF(OR(B21=1,B21=7,D21=1),2,1),P21))</f>
        <v/>
      </c>
      <c r="Q22" s="184" t="str">
        <f>IF(Q21="","",CONCATENATE($E$3,IF(OR($J$2=1,$J$2=2),1,IF($J$2=3,2,IF($J$2=4,3,IF($J$2=5,4,0)))),IF(OR(B21=1,B21=7,D21=1),2,1),Q21))</f>
        <v/>
      </c>
      <c r="V22" s="176"/>
      <c r="W22" s="176"/>
    </row>
    <row r="23" spans="1:24" ht="14.25" thickBot="1">
      <c r="S23" t="s">
        <v>256</v>
      </c>
    </row>
    <row r="24" spans="1:24">
      <c r="A24" s="185" t="s">
        <v>169</v>
      </c>
      <c r="B24" s="1060" t="s">
        <v>153</v>
      </c>
      <c r="C24" s="1060"/>
      <c r="D24" s="1060" t="s">
        <v>154</v>
      </c>
      <c r="E24" s="1061"/>
      <c r="F24" s="163" t="s">
        <v>97</v>
      </c>
      <c r="G24" s="1062" t="s">
        <v>50</v>
      </c>
      <c r="H24" s="1060"/>
      <c r="I24" s="185" t="s">
        <v>52</v>
      </c>
      <c r="J24" s="185" t="s">
        <v>54</v>
      </c>
      <c r="K24" s="185" t="s">
        <v>162</v>
      </c>
      <c r="M24" s="1062" t="s">
        <v>50</v>
      </c>
      <c r="N24" s="1060"/>
      <c r="O24" s="185" t="s">
        <v>52</v>
      </c>
      <c r="P24" s="185" t="s">
        <v>54</v>
      </c>
      <c r="Q24" s="185" t="s">
        <v>162</v>
      </c>
      <c r="S24" s="185" t="s">
        <v>153</v>
      </c>
      <c r="T24" s="185" t="s">
        <v>154</v>
      </c>
      <c r="U24" s="163" t="s">
        <v>155</v>
      </c>
      <c r="V24" s="185" t="s">
        <v>245</v>
      </c>
      <c r="W24" s="185" t="s">
        <v>246</v>
      </c>
      <c r="X24" s="185" t="s">
        <v>249</v>
      </c>
    </row>
    <row r="25" spans="1:24" ht="14.25" thickBot="1">
      <c r="A25" s="1048" t="s">
        <v>164</v>
      </c>
      <c r="B25" s="1050"/>
      <c r="C25" s="1051"/>
      <c r="D25" s="1050"/>
      <c r="E25" s="1054"/>
      <c r="F25" s="1040"/>
      <c r="G25" s="1057" t="str">
        <f>IF(OR(申込書!H76="",申込書!H76="（会議室選択）"),"",IF(申込書!H76="会議室１・２・３",3,IF(OR(申込書!H76="会議室１・２",申込書!H76="会議室１・３",申込書!H76="会議室２・３"),2,1)))</f>
        <v/>
      </c>
      <c r="H25" s="1058"/>
      <c r="I25" s="171" t="str">
        <f>IF(OR(申込書!N76="",申込書!N76="（会議室選択）"),"",IF(申込書!N76="会議室１・２・３",3,IF(OR(申込書!N76="会議室１・２",申込書!N76="会議室１・３",申込書!N76="会議室２・３"),2,1)))</f>
        <v/>
      </c>
      <c r="J25" s="171" t="str">
        <f>IF(OR(申込書!T76="",申込書!T76="（会議室選択）"),"",IF(申込書!T76="会議室１・２・３",3,IF(OR(申込書!T76="会議室１・２",申込書!T76="会議室１・３",申込書!T76="会議室２・３"),2,1)))</f>
        <v/>
      </c>
      <c r="K25" s="164"/>
      <c r="M25" s="1057" t="str">
        <f>G25</f>
        <v/>
      </c>
      <c r="N25" s="1058"/>
      <c r="O25" s="171" t="str">
        <f>I25</f>
        <v/>
      </c>
      <c r="P25" s="171" t="str">
        <f>J25</f>
        <v/>
      </c>
      <c r="Q25" s="164"/>
      <c r="S25" s="1036" t="str">
        <f>IF(延長使用届!A38&lt;&gt;"",WEEKDAY(延長使用届!A38,1),"")</f>
        <v/>
      </c>
      <c r="T25" s="1038" t="str">
        <f>IF(延長使用届!A38&lt;&gt;"",IF(COUNTIF(祝日一覧,延長使用届!A38),1,0),"")</f>
        <v/>
      </c>
      <c r="U25" s="1040"/>
      <c r="V25" s="171" t="str">
        <f>IF(延長使用届!H38="","",IF(延長使用届!H38="会議室１・２・３",3,IF(OR(延長使用届!H38="会議室１・２",延長使用届!H38="会議室１・３",延長使用届!H38="会議室２・３"),2,1)))</f>
        <v/>
      </c>
      <c r="W25" s="171" t="str">
        <f>IF(延長使用届!N38="","",IF(延長使用届!N38="会議室１・２・３",3,IF(OR(延長使用届!N38="会議室１・２",延長使用届!N38="会議室１・３",延長使用届!I38="会議室２・３"),2,1)))</f>
        <v/>
      </c>
      <c r="X25" s="171" t="str">
        <f>IF(延長使用届!T38="","",IF(延長使用届!T38="会議室１・２・３",3,IF(OR(延長使用届!T38="会議室１・２",延長使用届!T38="会議室１・３",延長使用届!T38="会議室２・３"),2,1)))</f>
        <v/>
      </c>
    </row>
    <row r="26" spans="1:24" ht="14.25" thickBot="1">
      <c r="A26" s="1049"/>
      <c r="B26" s="1052"/>
      <c r="C26" s="1053"/>
      <c r="D26" s="1052"/>
      <c r="E26" s="1055"/>
      <c r="F26" s="1056"/>
      <c r="G26" s="1059" t="str">
        <f>IF(G25="","",CONCATENATE($G$2,6,5,6))</f>
        <v/>
      </c>
      <c r="H26" s="1059"/>
      <c r="I26" s="184" t="str">
        <f>IF(I25="","",CONCATENATE($G$2,6,5,6))</f>
        <v/>
      </c>
      <c r="J26" s="184" t="str">
        <f>IF(J25="","",CONCATENATE($G$2,6,5,6))</f>
        <v/>
      </c>
      <c r="K26" s="184" t="str">
        <f>IF(OR(申込書!Z76="",申込書!Z76="（使用時間選択・午前使用の施設に適用）"),"",CONCATENATE($G$2,6,5,6))</f>
        <v/>
      </c>
      <c r="M26" s="1059" t="str">
        <f>IF(M25="","",CONCATENATE($E$3,6,5,6))</f>
        <v/>
      </c>
      <c r="N26" s="1059"/>
      <c r="O26" s="184" t="str">
        <f>IF(O25="","",CONCATENATE($E$3,6,5,6))</f>
        <v/>
      </c>
      <c r="P26" s="184" t="str">
        <f>IF(P25="","",CONCATENATE($E$3,6,5,6))</f>
        <v/>
      </c>
      <c r="Q26" s="184" t="str">
        <f>IF(K26="","",CONCATENATE($E$3,6,5,6))</f>
        <v/>
      </c>
      <c r="S26" s="1037"/>
      <c r="T26" s="1039"/>
      <c r="U26" s="1041"/>
      <c r="V26" s="184" t="str">
        <f>IF(V25="","",CONCATENATE($G$2,6,5,6))</f>
        <v/>
      </c>
      <c r="W26" s="184" t="str">
        <f>IF(W25="","",CONCATENATE($G$2,6,5,6))</f>
        <v/>
      </c>
      <c r="X26" s="184" t="str">
        <f>IF(X25="","",CONCATENATE($G$2,6,5,6))</f>
        <v/>
      </c>
    </row>
    <row r="27" spans="1:24" ht="14.25" thickBot="1">
      <c r="A27" s="1048" t="s">
        <v>165</v>
      </c>
      <c r="B27" s="1050"/>
      <c r="C27" s="1051"/>
      <c r="D27" s="1050"/>
      <c r="E27" s="1054"/>
      <c r="F27" s="1040"/>
      <c r="G27" s="1057" t="str">
        <f>IF(OR(申込書!H78="",申込書!H78="（会議室選択）"),"",IF(申込書!H78="会議室１・２・３",3,IF(OR(申込書!H78="会議室１・２",申込書!H78="会議室１・３",申込書!H78="会議室２・３"),2,1)))</f>
        <v/>
      </c>
      <c r="H27" s="1058"/>
      <c r="I27" s="171" t="str">
        <f>IF(OR(申込書!N78="",申込書!N78="（会議室選択）"),"",IF(申込書!N78="会議室１・２・３",3,IF(OR(申込書!N78="会議室１・２",申込書!N78="会議室１・３",申込書!N78="会議室２・３"),2,1)))</f>
        <v/>
      </c>
      <c r="J27" s="171" t="str">
        <f>IF(OR(申込書!T78="",申込書!T78="（会議室選択）"),"",IF(申込書!T78="会議室１・２・３",3,IF(OR(申込書!T78="会議室１・２",申込書!T78="会議室１・３",申込書!T78="会議室２・３"),2,1)))</f>
        <v/>
      </c>
      <c r="K27" s="164"/>
      <c r="M27" s="1057" t="str">
        <f>G27</f>
        <v/>
      </c>
      <c r="N27" s="1058"/>
      <c r="O27" s="171" t="str">
        <f>I27</f>
        <v/>
      </c>
      <c r="P27" s="171" t="str">
        <f>J27</f>
        <v/>
      </c>
      <c r="Q27" s="164"/>
      <c r="V27" s="176"/>
      <c r="W27" s="176"/>
    </row>
    <row r="28" spans="1:24" ht="14.25" thickBot="1">
      <c r="A28" s="1049"/>
      <c r="B28" s="1052"/>
      <c r="C28" s="1053"/>
      <c r="D28" s="1052"/>
      <c r="E28" s="1055"/>
      <c r="F28" s="1056"/>
      <c r="G28" s="1059" t="str">
        <f>IF(G27="","",CONCATENATE($G$2,6,5,6))</f>
        <v/>
      </c>
      <c r="H28" s="1059"/>
      <c r="I28" s="184" t="str">
        <f>IF(I27="","",CONCATENATE($G$2,6,5,6))</f>
        <v/>
      </c>
      <c r="J28" s="184" t="str">
        <f>IF(J27="","",CONCATENATE($G$2,6,5,6))</f>
        <v/>
      </c>
      <c r="K28" s="184" t="str">
        <f>IF(OR(申込書!Z78="",申込書!Z78="（使用時間選択・午前使用の施設に適用）"),"",CONCATENATE($G$2,6,5,6))</f>
        <v/>
      </c>
      <c r="M28" s="1059" t="str">
        <f>IF(M27="","",CONCATENATE($E$3,6,5,6))</f>
        <v/>
      </c>
      <c r="N28" s="1059"/>
      <c r="O28" s="184" t="str">
        <f>IF(O27="","",CONCATENATE($E$3,6,5,6))</f>
        <v/>
      </c>
      <c r="P28" s="184" t="str">
        <f>IF(P27="","",CONCATENATE($E$3,6,5,6))</f>
        <v/>
      </c>
      <c r="Q28" s="184" t="str">
        <f>IF(K28="","",CONCATENATE($E$3,6,5,6))</f>
        <v/>
      </c>
      <c r="S28" t="s">
        <v>257</v>
      </c>
    </row>
    <row r="29" spans="1:24" ht="14.25" thickBot="1">
      <c r="A29" s="1048" t="s">
        <v>166</v>
      </c>
      <c r="B29" s="1050"/>
      <c r="C29" s="1051"/>
      <c r="D29" s="1050"/>
      <c r="E29" s="1054"/>
      <c r="F29" s="1040"/>
      <c r="G29" s="1057" t="str">
        <f>IF(OR(申込書!H80="",申込書!H80="（会議室選択）"),"",IF(申込書!H80="会議室１・２・３",3,IF(OR(申込書!H80="会議室１・２",申込書!H80="会議室１・３",申込書!H80="会議室２・３"),2,1)))</f>
        <v/>
      </c>
      <c r="H29" s="1058"/>
      <c r="I29" s="171" t="str">
        <f>IF(OR(申込書!N80="",申込書!N80="（会議室選択）"),"",IF(申込書!N80="会議室１・２・３",3,IF(OR(申込書!N80="会議室１・２",申込書!N80="会議室１・３",申込書!N80="会議室２・３"),2,1)))</f>
        <v/>
      </c>
      <c r="J29" s="171" t="str">
        <f>IF(OR(申込書!T80="",申込書!T80="（会議室選択）"),"",IF(申込書!T80="会議室１・２・３",3,IF(OR(申込書!T80="会議室１・２",申込書!T80="会議室１・３",申込書!T80="会議室２・３"),2,1)))</f>
        <v/>
      </c>
      <c r="K29" s="164"/>
      <c r="M29" s="1057" t="str">
        <f>G29</f>
        <v/>
      </c>
      <c r="N29" s="1058"/>
      <c r="O29" s="171" t="str">
        <f>I29</f>
        <v/>
      </c>
      <c r="P29" s="171" t="str">
        <f>J29</f>
        <v/>
      </c>
      <c r="Q29" s="164"/>
      <c r="S29" s="185" t="s">
        <v>153</v>
      </c>
      <c r="T29" s="185" t="s">
        <v>154</v>
      </c>
      <c r="U29" s="163" t="s">
        <v>97</v>
      </c>
      <c r="V29" s="185" t="s">
        <v>237</v>
      </c>
      <c r="W29" s="185" t="s">
        <v>239</v>
      </c>
      <c r="X29" s="185" t="s">
        <v>240</v>
      </c>
    </row>
    <row r="30" spans="1:24" ht="14.25" thickBot="1">
      <c r="A30" s="1049"/>
      <c r="B30" s="1052"/>
      <c r="C30" s="1053"/>
      <c r="D30" s="1052"/>
      <c r="E30" s="1055"/>
      <c r="F30" s="1056"/>
      <c r="G30" s="1059" t="str">
        <f>IF(G29="","",CONCATENATE($G$2,6,5,6))</f>
        <v/>
      </c>
      <c r="H30" s="1059"/>
      <c r="I30" s="184" t="str">
        <f>IF(I29="","",CONCATENATE($G$2,6,5,6))</f>
        <v/>
      </c>
      <c r="J30" s="184" t="str">
        <f>IF(J29="","",CONCATENATE($G$2,6,5,6))</f>
        <v/>
      </c>
      <c r="K30" s="184" t="str">
        <f>IF(OR(申込書!Z80="",申込書!Z80="（使用時間選択・午前使用の施設に適用）"),"",CONCATENATE($G$2,6,5,6))</f>
        <v/>
      </c>
      <c r="M30" s="1059" t="str">
        <f>IF(M29="","",CONCATENATE($E$3,6,5,6))</f>
        <v/>
      </c>
      <c r="N30" s="1059"/>
      <c r="O30" s="184" t="str">
        <f>IF(O29="","",CONCATENATE($E$3,6,5,6))</f>
        <v/>
      </c>
      <c r="P30" s="184" t="str">
        <f>IF(P29="","",CONCATENATE($E$3,6,5,6))</f>
        <v/>
      </c>
      <c r="Q30" s="184" t="str">
        <f>IF(K30="","",CONCATENATE($E$3,6,5,6))</f>
        <v/>
      </c>
      <c r="S30" s="1036" t="str">
        <f>IF(延長使用届!A38&lt;&gt;"",WEEKDAY(延長使用届!A38,1),"")</f>
        <v/>
      </c>
      <c r="T30" s="1038" t="str">
        <f>IF(延長使用届!A38&lt;&gt;"",IF(COUNTIF(祝日一覧,延長使用届!A38),1,0),"")</f>
        <v/>
      </c>
      <c r="U30" s="1040"/>
      <c r="V30" s="171" t="str">
        <f>IF(延長使用届!H38="","",IF(延長使用届!H38="会議室１・２・３",3,IF(OR(延長使用届!H38="会議室１・２",延長使用届!H38="会議室１・３",延長使用届!H38="会議室２・３"),2,1)))</f>
        <v/>
      </c>
      <c r="W30" s="171" t="str">
        <f>IF(延長使用届!N38="","",IF(延長使用届!N38="会議室１・２・３",3,IF(OR(延長使用届!N38="会議室１・２",延長使用届!N38="会議室１・３",延長使用届!I38="会議室２・３"),2,1)))</f>
        <v/>
      </c>
      <c r="X30" s="171" t="str">
        <f>IF(延長使用届!T38="","",IF(延長使用届!T38="会議室１・２・３",3,IF(OR(延長使用届!T38="会議室１・２",延長使用届!T38="会議室１・３",延長使用届!T38="会議室２・３"),2,1)))</f>
        <v/>
      </c>
    </row>
    <row r="31" spans="1:24" ht="14.25" thickBot="1">
      <c r="A31" s="1048" t="s">
        <v>167</v>
      </c>
      <c r="B31" s="1050"/>
      <c r="C31" s="1051"/>
      <c r="D31" s="1050"/>
      <c r="E31" s="1054"/>
      <c r="F31" s="1040"/>
      <c r="G31" s="1057" t="str">
        <f>IF(OR(申込書!H82="",申込書!H82="（会議室選択）"),"",IF(申込書!H82="会議室１・２・３",3,IF(OR(申込書!H82="会議室１・２",申込書!H82="会議室１・３",申込書!H82="会議室２・３"),2,1)))</f>
        <v/>
      </c>
      <c r="H31" s="1058"/>
      <c r="I31" s="171" t="str">
        <f>IF(OR(申込書!N82="",申込書!N82="（会議室選択）"),"",IF(申込書!N82="会議室１・２・３",3,IF(OR(申込書!N82="会議室１・２",申込書!N82="会議室１・３",申込書!N82="会議室２・３"),2,1)))</f>
        <v/>
      </c>
      <c r="J31" s="171" t="str">
        <f>IF(OR(申込書!T82="",申込書!T82="（会議室選択）"),"",IF(申込書!T82="会議室１・２・３",3,IF(OR(申込書!T82="会議室１・２",申込書!T82="会議室１・３",申込書!T82="会議室２・３"),2,1)))</f>
        <v/>
      </c>
      <c r="K31" s="164"/>
      <c r="M31" s="1057" t="str">
        <f>G31</f>
        <v/>
      </c>
      <c r="N31" s="1058"/>
      <c r="O31" s="171" t="str">
        <f>I31</f>
        <v/>
      </c>
      <c r="P31" s="171" t="str">
        <f>J31</f>
        <v/>
      </c>
      <c r="Q31" s="164"/>
      <c r="S31" s="1037"/>
      <c r="T31" s="1039"/>
      <c r="U31" s="1041"/>
      <c r="V31" s="184" t="str">
        <f>IF(V30="","",CONCATENATE(1,6,5,6))</f>
        <v/>
      </c>
      <c r="W31" s="184" t="str">
        <f>IF(W30="","",CONCATENATE(1,6,5,6))</f>
        <v/>
      </c>
      <c r="X31" s="184" t="str">
        <f>IF(X30="","",CONCATENATE(1,6,5,6))</f>
        <v/>
      </c>
    </row>
    <row r="32" spans="1:24" ht="14.25" thickBot="1">
      <c r="A32" s="1049"/>
      <c r="B32" s="1052"/>
      <c r="C32" s="1053"/>
      <c r="D32" s="1052"/>
      <c r="E32" s="1055"/>
      <c r="F32" s="1056"/>
      <c r="G32" s="1059" t="str">
        <f>IF(G31="","",CONCATENATE($G$2,6,5,6))</f>
        <v/>
      </c>
      <c r="H32" s="1059"/>
      <c r="I32" s="184" t="str">
        <f>IF(I31="","",CONCATENATE($G$2,6,5,6))</f>
        <v/>
      </c>
      <c r="J32" s="184" t="str">
        <f>IF(J31="","",CONCATENATE($G$2,6,5,6))</f>
        <v/>
      </c>
      <c r="K32" s="184" t="str">
        <f>IF(OR(申込書!Z82="",申込書!Z82="（使用時間選択・午前使用の施設に適用）"),"",CONCATENATE($G$2,6,5,6))</f>
        <v/>
      </c>
      <c r="M32" s="1059" t="str">
        <f>IF(M31="","",CONCATENATE($E$3,6,5,6))</f>
        <v/>
      </c>
      <c r="N32" s="1059"/>
      <c r="O32" s="184" t="str">
        <f>IF(O31="","",CONCATENATE($E$3,6,5,6))</f>
        <v/>
      </c>
      <c r="P32" s="184" t="str">
        <f>IF(P31="","",CONCATENATE($E$3,6,5,6))</f>
        <v/>
      </c>
      <c r="Q32" s="184" t="str">
        <f>IF(K32="","",CONCATENATE($E$3,6,5,6))</f>
        <v/>
      </c>
      <c r="V32" s="177"/>
      <c r="W32" s="177"/>
    </row>
    <row r="33" spans="1:24" ht="14.25" thickBot="1">
      <c r="S33" t="s">
        <v>258</v>
      </c>
    </row>
    <row r="34" spans="1:24">
      <c r="A34" s="185" t="s">
        <v>6</v>
      </c>
      <c r="B34" s="1060" t="s">
        <v>153</v>
      </c>
      <c r="C34" s="1060"/>
      <c r="D34" s="1060" t="s">
        <v>154</v>
      </c>
      <c r="E34" s="1061"/>
      <c r="F34" s="163" t="s">
        <v>97</v>
      </c>
      <c r="G34" s="1062" t="s">
        <v>50</v>
      </c>
      <c r="H34" s="1060"/>
      <c r="I34" s="185" t="s">
        <v>52</v>
      </c>
      <c r="J34" s="185" t="s">
        <v>54</v>
      </c>
      <c r="K34" s="185" t="s">
        <v>162</v>
      </c>
      <c r="M34" s="1062" t="s">
        <v>50</v>
      </c>
      <c r="N34" s="1060"/>
      <c r="O34" s="185" t="s">
        <v>52</v>
      </c>
      <c r="P34" s="185" t="s">
        <v>54</v>
      </c>
      <c r="Q34" s="185" t="s">
        <v>162</v>
      </c>
      <c r="S34" s="185" t="s">
        <v>153</v>
      </c>
      <c r="T34" s="185" t="s">
        <v>154</v>
      </c>
      <c r="U34" s="163" t="s">
        <v>155</v>
      </c>
      <c r="V34" s="185" t="s">
        <v>248</v>
      </c>
      <c r="W34" s="185" t="s">
        <v>247</v>
      </c>
      <c r="X34" s="185" t="s">
        <v>249</v>
      </c>
    </row>
    <row r="35" spans="1:24" ht="14.25" thickBot="1">
      <c r="A35" s="1048" t="s">
        <v>164</v>
      </c>
      <c r="B35" s="1050"/>
      <c r="C35" s="1051"/>
      <c r="D35" s="1050"/>
      <c r="E35" s="1054"/>
      <c r="F35" s="1040"/>
      <c r="G35" s="1057" t="str">
        <f>IF(申込書!AL78=TRUE,1,"")</f>
        <v/>
      </c>
      <c r="H35" s="1058"/>
      <c r="I35" s="171" t="str">
        <f>IF(申込書!AM78=TRUE,1,"")</f>
        <v/>
      </c>
      <c r="J35" s="171" t="str">
        <f>IF(申込書!AN78=TRUE,1,"")</f>
        <v/>
      </c>
      <c r="K35" s="164"/>
      <c r="M35" s="1057" t="str">
        <f>G35</f>
        <v/>
      </c>
      <c r="N35" s="1058"/>
      <c r="O35" s="171" t="str">
        <f>I35</f>
        <v/>
      </c>
      <c r="P35" s="171" t="str">
        <f>J35</f>
        <v/>
      </c>
      <c r="Q35" s="164"/>
      <c r="S35" s="1036" t="str">
        <f>IF(延長使用届!A38&lt;&gt;"",WEEKDAY(延長使用届!A38,1),"")</f>
        <v/>
      </c>
      <c r="T35" s="1038" t="str">
        <f>IF(延長使用届!A38&lt;&gt;"",IF(COUNTIF(祝日一覧,延長使用届!A38),1,0),"")</f>
        <v/>
      </c>
      <c r="U35" s="1040"/>
      <c r="V35" s="171" t="str">
        <f>IF(延長使用届!AL39=TRUE,5,"")</f>
        <v/>
      </c>
      <c r="W35" s="171" t="str">
        <f>IF(延長使用届!AM39=TRUE,5,"")</f>
        <v/>
      </c>
      <c r="X35" s="171" t="str">
        <f>IF(延長使用届!AN39=TRUE,5,"")</f>
        <v/>
      </c>
    </row>
    <row r="36" spans="1:24" ht="14.25" thickBot="1">
      <c r="A36" s="1049"/>
      <c r="B36" s="1052"/>
      <c r="C36" s="1053"/>
      <c r="D36" s="1052"/>
      <c r="E36" s="1055"/>
      <c r="F36" s="1056"/>
      <c r="G36" s="1059" t="str">
        <f>IF(G35=1,CONCATENATE($G$2,6,5,7),"")</f>
        <v/>
      </c>
      <c r="H36" s="1059"/>
      <c r="I36" s="184" t="str">
        <f>IF(I35=1,CONCATENATE($G$2,6,5,7),"")</f>
        <v/>
      </c>
      <c r="J36" s="184" t="str">
        <f>IF(J35=1,CONCATENATE($G$2,6,5,7),"")</f>
        <v/>
      </c>
      <c r="K36" s="184" t="str">
        <f>IF(申込書!AP78=TRUE,CONCATENATE($G$2,6,5,7),"")</f>
        <v/>
      </c>
      <c r="M36" s="1059" t="str">
        <f>IF(M35=1,CONCATENATE($E$3,6,5,7),"")</f>
        <v/>
      </c>
      <c r="N36" s="1059"/>
      <c r="O36" s="184" t="str">
        <f>IF(O35=1,CONCATENATE($E$3,6,5,7),"")</f>
        <v/>
      </c>
      <c r="P36" s="184" t="str">
        <f>IF(P35=1,CONCATENATE($E$3,6,5,7),"")</f>
        <v/>
      </c>
      <c r="Q36" s="184" t="str">
        <f>IF(申込書!AP78=TRUE,CONCATENATE($E$3,6,5,7),"")</f>
        <v/>
      </c>
      <c r="S36" s="1037"/>
      <c r="T36" s="1039"/>
      <c r="U36" s="1041"/>
      <c r="V36" s="184" t="str">
        <f>IF(V35="","",CONCATENATE($G$2,6,$V$35,7))</f>
        <v/>
      </c>
      <c r="W36" s="184" t="str">
        <f>IF(W35="","",CONCATENATE($G$2,6,$W$35,7))</f>
        <v/>
      </c>
      <c r="X36" s="184" t="str">
        <f>IF(X35="","",CONCATENATE($G$2,6,$X$35,7))</f>
        <v/>
      </c>
    </row>
    <row r="37" spans="1:24" ht="14.25" thickBot="1">
      <c r="A37" s="1048" t="s">
        <v>165</v>
      </c>
      <c r="B37" s="1050"/>
      <c r="C37" s="1051"/>
      <c r="D37" s="1050"/>
      <c r="E37" s="1054"/>
      <c r="F37" s="1040"/>
      <c r="G37" s="1057" t="str">
        <f>IF(申込書!AL80=TRUE,1,"")</f>
        <v/>
      </c>
      <c r="H37" s="1058"/>
      <c r="I37" s="171" t="str">
        <f>IF(申込書!AM80=TRUE,1,"")</f>
        <v/>
      </c>
      <c r="J37" s="171" t="str">
        <f>IF(申込書!AN80=TRUE,1,"")</f>
        <v/>
      </c>
      <c r="K37" s="164"/>
      <c r="M37" s="1057" t="str">
        <f>G37</f>
        <v/>
      </c>
      <c r="N37" s="1058"/>
      <c r="O37" s="171" t="str">
        <f>I37</f>
        <v/>
      </c>
      <c r="P37" s="171" t="str">
        <f>J37</f>
        <v/>
      </c>
      <c r="Q37" s="164"/>
      <c r="V37" s="177"/>
      <c r="W37" s="177"/>
    </row>
    <row r="38" spans="1:24" ht="14.25" thickBot="1">
      <c r="A38" s="1049"/>
      <c r="B38" s="1052"/>
      <c r="C38" s="1053"/>
      <c r="D38" s="1052"/>
      <c r="E38" s="1055"/>
      <c r="F38" s="1056"/>
      <c r="G38" s="1059" t="str">
        <f>IF(G37=1,CONCATENATE($G$2,6,5,7),"")</f>
        <v/>
      </c>
      <c r="H38" s="1059"/>
      <c r="I38" s="184" t="str">
        <f>IF(I37=1,CONCATENATE($G$2,6,5,7),"")</f>
        <v/>
      </c>
      <c r="J38" s="184" t="str">
        <f>IF(J37=1,CONCATENATE($G$2,6,5,7),"")</f>
        <v/>
      </c>
      <c r="K38" s="184" t="str">
        <f>IF(申込書!AP80=TRUE,CONCATENATE($G$2,6,5,7),"")</f>
        <v/>
      </c>
      <c r="M38" s="1059" t="str">
        <f>IF(M37=1,CONCATENATE($E$3,6,5,7),"")</f>
        <v/>
      </c>
      <c r="N38" s="1059"/>
      <c r="O38" s="184" t="str">
        <f>IF(O37=1,CONCATENATE($E$3,6,5,7),"")</f>
        <v/>
      </c>
      <c r="P38" s="184" t="str">
        <f>IF(P37=1,CONCATENATE($E$3,6,5,7),"")</f>
        <v/>
      </c>
      <c r="Q38" s="184" t="str">
        <f>IF(申込書!AP80=TRUE,CONCATENATE($E$3,6,5,7),"")</f>
        <v/>
      </c>
      <c r="S38" t="s">
        <v>259</v>
      </c>
    </row>
    <row r="39" spans="1:24" ht="14.25" thickBot="1">
      <c r="A39" s="1048" t="s">
        <v>166</v>
      </c>
      <c r="B39" s="1050"/>
      <c r="C39" s="1051"/>
      <c r="D39" s="1050"/>
      <c r="E39" s="1054"/>
      <c r="F39" s="1040"/>
      <c r="G39" s="1057" t="str">
        <f>IF(申込書!AL82=TRUE,1,"")</f>
        <v/>
      </c>
      <c r="H39" s="1058"/>
      <c r="I39" s="171" t="str">
        <f>IF(申込書!AM82=TRUE,1,"")</f>
        <v/>
      </c>
      <c r="J39" s="171" t="str">
        <f>IF(申込書!AN82=TRUE,1,"")</f>
        <v/>
      </c>
      <c r="K39" s="164"/>
      <c r="M39" s="1057" t="str">
        <f>O39</f>
        <v/>
      </c>
      <c r="N39" s="1058"/>
      <c r="O39" s="171" t="str">
        <f>I39</f>
        <v/>
      </c>
      <c r="P39" s="171" t="str">
        <f>J39</f>
        <v/>
      </c>
      <c r="Q39" s="164"/>
      <c r="S39" s="185" t="s">
        <v>153</v>
      </c>
      <c r="T39" s="185" t="s">
        <v>154</v>
      </c>
      <c r="U39" s="163" t="s">
        <v>97</v>
      </c>
      <c r="V39" s="185" t="s">
        <v>237</v>
      </c>
      <c r="W39" s="185" t="s">
        <v>239</v>
      </c>
      <c r="X39" s="185" t="s">
        <v>240</v>
      </c>
    </row>
    <row r="40" spans="1:24" ht="14.25" thickBot="1">
      <c r="A40" s="1049"/>
      <c r="B40" s="1052"/>
      <c r="C40" s="1053"/>
      <c r="D40" s="1052"/>
      <c r="E40" s="1055"/>
      <c r="F40" s="1056"/>
      <c r="G40" s="1059" t="str">
        <f>IF(G39=1,CONCATENATE($G$2,6,5,7),"")</f>
        <v/>
      </c>
      <c r="H40" s="1059"/>
      <c r="I40" s="184" t="str">
        <f>IF(I39=1,CONCATENATE($G$2,6,5,7),"")</f>
        <v/>
      </c>
      <c r="J40" s="184" t="str">
        <f>IF(J39=1,CONCATENATE($G$2,6,5,7),"")</f>
        <v/>
      </c>
      <c r="K40" s="184" t="str">
        <f>IF(申込書!AP82=TRUE,CONCATENATE($G$2,6,5,7),"")</f>
        <v/>
      </c>
      <c r="M40" s="1059" t="str">
        <f>IF(M39=1,CONCATENATE($E$3,6,5,7),"")</f>
        <v/>
      </c>
      <c r="N40" s="1059"/>
      <c r="O40" s="184" t="str">
        <f>IF(O39=1,CONCATENATE($E$3,6,5,7),"")</f>
        <v/>
      </c>
      <c r="P40" s="184" t="str">
        <f>IF(P39=1,CONCATENATE($E$3,6,5,7),"")</f>
        <v/>
      </c>
      <c r="Q40" s="184" t="str">
        <f>IF(申込書!AP82=TRUE,CONCATENATE($E$3,6,5,7),"")</f>
        <v/>
      </c>
      <c r="S40" s="1036" t="str">
        <f>IF(延長使用届!A38&lt;&gt;"",WEEKDAY(延長使用届!A38,1),"")</f>
        <v/>
      </c>
      <c r="T40" s="1038" t="str">
        <f>IF(延長使用届!A38&lt;&gt;"",IF(COUNTIF(祝日一覧,延長使用届!A38),1,0),"")</f>
        <v/>
      </c>
      <c r="U40" s="1040"/>
      <c r="V40" s="171" t="str">
        <f>IF(延長使用届!AL39=TRUE,5,"")</f>
        <v/>
      </c>
      <c r="W40" s="171" t="str">
        <f>IF(延長使用届!AM39=TRUE,5,"")</f>
        <v/>
      </c>
      <c r="X40" s="171" t="str">
        <f>IF(延長使用届!AN39=TRUE,5,"")</f>
        <v/>
      </c>
    </row>
    <row r="41" spans="1:24" ht="14.25" thickBot="1">
      <c r="A41" s="1048" t="s">
        <v>167</v>
      </c>
      <c r="B41" s="1050"/>
      <c r="C41" s="1051"/>
      <c r="D41" s="1050"/>
      <c r="E41" s="1054"/>
      <c r="F41" s="1040"/>
      <c r="G41" s="1057" t="str">
        <f>IF(申込書!AL84=TRUE,1,"")</f>
        <v/>
      </c>
      <c r="H41" s="1058"/>
      <c r="I41" s="171" t="str">
        <f>IF(申込書!AM84=TRUE,1,"")</f>
        <v/>
      </c>
      <c r="J41" s="171" t="str">
        <f>IF(申込書!AN84=TRUE,1,"")</f>
        <v/>
      </c>
      <c r="K41" s="164"/>
      <c r="M41" s="1057" t="str">
        <f>G41</f>
        <v/>
      </c>
      <c r="N41" s="1058"/>
      <c r="O41" s="171" t="str">
        <f>I41</f>
        <v/>
      </c>
      <c r="P41" s="171" t="str">
        <f>J41</f>
        <v/>
      </c>
      <c r="Q41" s="164"/>
      <c r="S41" s="1037"/>
      <c r="T41" s="1039"/>
      <c r="U41" s="1041"/>
      <c r="V41" s="184" t="str">
        <f>IF(V40="","",CONCATENATE(1,6,$V$40,7))</f>
        <v/>
      </c>
      <c r="W41" s="184" t="str">
        <f>IF(W40="","",CONCATENATE(1,6,$W$40,7))</f>
        <v/>
      </c>
      <c r="X41" s="184" t="str">
        <f>IF(X40="","",CONCATENATE(1,6,$X$40,7))</f>
        <v/>
      </c>
    </row>
    <row r="42" spans="1:24" ht="14.25" thickBot="1">
      <c r="A42" s="1049"/>
      <c r="B42" s="1052"/>
      <c r="C42" s="1053"/>
      <c r="D42" s="1052"/>
      <c r="E42" s="1055"/>
      <c r="F42" s="1056"/>
      <c r="G42" s="1059" t="str">
        <f>IF(G41=1,CONCATENATE($G$2,6,5,7),"")</f>
        <v/>
      </c>
      <c r="H42" s="1059"/>
      <c r="I42" s="184" t="str">
        <f>IF(I41=1,CONCATENATE($G$2,6,5,7),"")</f>
        <v/>
      </c>
      <c r="J42" s="184" t="str">
        <f>IF(J41=1,CONCATENATE($G$2,6,5,7),"")</f>
        <v/>
      </c>
      <c r="K42" s="184" t="str">
        <f>IF(申込書!AP84=TRUE,CONCATENATE($G$2,6,5,7),"")</f>
        <v/>
      </c>
      <c r="M42" s="1059" t="str">
        <f>IF(M41=1,CONCATENATE($E$3,6,5,7),"")</f>
        <v/>
      </c>
      <c r="N42" s="1059"/>
      <c r="O42" s="184" t="str">
        <f>IF(O41=1,CONCATENATE($E$3,6,5,7),"")</f>
        <v/>
      </c>
      <c r="P42" s="184" t="str">
        <f>IF(P41=1,CONCATENATE($E$3,6,5,7),"")</f>
        <v/>
      </c>
      <c r="Q42" s="184" t="str">
        <f>IF(申込書!AP84=TRUE,CONCATENATE($E$3,6,5,7),"")</f>
        <v/>
      </c>
      <c r="V42" s="177"/>
      <c r="W42" s="177"/>
    </row>
    <row r="43" spans="1:24">
      <c r="V43" s="177"/>
      <c r="W43" s="177"/>
    </row>
    <row r="44" spans="1:24">
      <c r="F44" s="188" t="s">
        <v>291</v>
      </c>
      <c r="G44" s="189">
        <f>MAX(G25,I25,J25,G27,I27,J27,G29,I29,J29,G31,I31,J31)</f>
        <v>0</v>
      </c>
      <c r="V44" s="177"/>
      <c r="W44" s="177"/>
    </row>
  </sheetData>
  <mergeCells count="149">
    <mergeCell ref="S40:S41"/>
    <mergeCell ref="T40:T41"/>
    <mergeCell ref="U40:U41"/>
    <mergeCell ref="M34:N34"/>
    <mergeCell ref="M35:N35"/>
    <mergeCell ref="M36:N36"/>
    <mergeCell ref="M37:N37"/>
    <mergeCell ref="M38:N38"/>
    <mergeCell ref="M39:N39"/>
    <mergeCell ref="M40:N40"/>
    <mergeCell ref="M41:N41"/>
    <mergeCell ref="S35:S36"/>
    <mergeCell ref="T35:T36"/>
    <mergeCell ref="U35:U36"/>
    <mergeCell ref="M42:N42"/>
    <mergeCell ref="M31:N31"/>
    <mergeCell ref="M32:N32"/>
    <mergeCell ref="M14:N14"/>
    <mergeCell ref="M15:N15"/>
    <mergeCell ref="M16:N16"/>
    <mergeCell ref="M17:N17"/>
    <mergeCell ref="M19:N19"/>
    <mergeCell ref="M20:N20"/>
    <mergeCell ref="M21:N21"/>
    <mergeCell ref="M22:N22"/>
    <mergeCell ref="M18:N18"/>
    <mergeCell ref="M24:N24"/>
    <mergeCell ref="M25:N25"/>
    <mergeCell ref="M26:N26"/>
    <mergeCell ref="M27:N27"/>
    <mergeCell ref="M28:N28"/>
    <mergeCell ref="M29:N29"/>
    <mergeCell ref="M30:N30"/>
    <mergeCell ref="A31:A32"/>
    <mergeCell ref="B31:C32"/>
    <mergeCell ref="D31:E32"/>
    <mergeCell ref="F31:F32"/>
    <mergeCell ref="G31:H31"/>
    <mergeCell ref="G32:H32"/>
    <mergeCell ref="E1:F1"/>
    <mergeCell ref="A27:A28"/>
    <mergeCell ref="B27:C28"/>
    <mergeCell ref="D27:E28"/>
    <mergeCell ref="F27:F28"/>
    <mergeCell ref="G27:H27"/>
    <mergeCell ref="G28:H28"/>
    <mergeCell ref="A29:A30"/>
    <mergeCell ref="B29:C30"/>
    <mergeCell ref="D29:E30"/>
    <mergeCell ref="F29:F30"/>
    <mergeCell ref="G29:H29"/>
    <mergeCell ref="G30:H30"/>
    <mergeCell ref="B24:C24"/>
    <mergeCell ref="D24:E24"/>
    <mergeCell ref="G24:H24"/>
    <mergeCell ref="A25:A26"/>
    <mergeCell ref="B25:C26"/>
    <mergeCell ref="D25:E26"/>
    <mergeCell ref="F25:F26"/>
    <mergeCell ref="G25:H25"/>
    <mergeCell ref="G26:H26"/>
    <mergeCell ref="F17:F18"/>
    <mergeCell ref="F19:F20"/>
    <mergeCell ref="F21:F22"/>
    <mergeCell ref="G17:H17"/>
    <mergeCell ref="G18:H18"/>
    <mergeCell ref="G19:H19"/>
    <mergeCell ref="G20:H20"/>
    <mergeCell ref="G21:H21"/>
    <mergeCell ref="G22:H22"/>
    <mergeCell ref="A17:A18"/>
    <mergeCell ref="A19:A20"/>
    <mergeCell ref="A21:A22"/>
    <mergeCell ref="B17:C18"/>
    <mergeCell ref="B19:C20"/>
    <mergeCell ref="B21:C22"/>
    <mergeCell ref="D17:E18"/>
    <mergeCell ref="D19:E20"/>
    <mergeCell ref="D21:E22"/>
    <mergeCell ref="C8:D8"/>
    <mergeCell ref="A15:A16"/>
    <mergeCell ref="B15:C16"/>
    <mergeCell ref="D15:E16"/>
    <mergeCell ref="F15:F16"/>
    <mergeCell ref="G16:H16"/>
    <mergeCell ref="B14:C14"/>
    <mergeCell ref="D14:E14"/>
    <mergeCell ref="G14:H14"/>
    <mergeCell ref="G15:H15"/>
    <mergeCell ref="B34:C34"/>
    <mergeCell ref="D34:E34"/>
    <mergeCell ref="G34:H34"/>
    <mergeCell ref="B2:C2"/>
    <mergeCell ref="C3:D3"/>
    <mergeCell ref="C4:D4"/>
    <mergeCell ref="C5:D5"/>
    <mergeCell ref="E2:F2"/>
    <mergeCell ref="F3:G3"/>
    <mergeCell ref="F4:G4"/>
    <mergeCell ref="F5:G5"/>
    <mergeCell ref="C9:D9"/>
    <mergeCell ref="C10:D10"/>
    <mergeCell ref="H2:I2"/>
    <mergeCell ref="I3:J3"/>
    <mergeCell ref="I4:J4"/>
    <mergeCell ref="I5:J5"/>
    <mergeCell ref="I6:J6"/>
    <mergeCell ref="I7:J7"/>
    <mergeCell ref="F6:G6"/>
    <mergeCell ref="F7:G7"/>
    <mergeCell ref="F8:G8"/>
    <mergeCell ref="C6:D6"/>
    <mergeCell ref="C7:D7"/>
    <mergeCell ref="A37:A38"/>
    <mergeCell ref="B37:C38"/>
    <mergeCell ref="D37:E38"/>
    <mergeCell ref="F37:F38"/>
    <mergeCell ref="G37:H37"/>
    <mergeCell ref="G38:H38"/>
    <mergeCell ref="A35:A36"/>
    <mergeCell ref="B35:C36"/>
    <mergeCell ref="D35:E36"/>
    <mergeCell ref="F35:F36"/>
    <mergeCell ref="G35:H35"/>
    <mergeCell ref="G36:H36"/>
    <mergeCell ref="A41:A42"/>
    <mergeCell ref="B41:C42"/>
    <mergeCell ref="D41:E42"/>
    <mergeCell ref="F41:F42"/>
    <mergeCell ref="G41:H41"/>
    <mergeCell ref="G42:H42"/>
    <mergeCell ref="A39:A40"/>
    <mergeCell ref="B39:C40"/>
    <mergeCell ref="D39:E40"/>
    <mergeCell ref="F39:F40"/>
    <mergeCell ref="G39:H39"/>
    <mergeCell ref="G40:H40"/>
    <mergeCell ref="S30:S31"/>
    <mergeCell ref="T30:T31"/>
    <mergeCell ref="U30:U31"/>
    <mergeCell ref="S15:S16"/>
    <mergeCell ref="T15:T16"/>
    <mergeCell ref="U15:U16"/>
    <mergeCell ref="S25:S26"/>
    <mergeCell ref="T25:T26"/>
    <mergeCell ref="U25:U26"/>
    <mergeCell ref="S20:S21"/>
    <mergeCell ref="T20:T21"/>
    <mergeCell ref="U20:U21"/>
  </mergeCells>
  <phoneticPr fontId="4"/>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R76"/>
  <sheetViews>
    <sheetView view="pageBreakPreview" topLeftCell="A38" zoomScaleNormal="90" zoomScaleSheetLayoutView="100" workbookViewId="0">
      <selection activeCell="L2" sqref="L2"/>
    </sheetView>
  </sheetViews>
  <sheetFormatPr defaultColWidth="9" defaultRowHeight="12"/>
  <cols>
    <col min="1" max="34" width="2.625" style="199" customWidth="1"/>
    <col min="35" max="35" width="1" style="199" customWidth="1"/>
    <col min="36" max="36" width="3.125" style="199" hidden="1" customWidth="1"/>
    <col min="37" max="39" width="6.5" style="199" hidden="1" customWidth="1"/>
    <col min="40" max="40" width="2.625" style="199" hidden="1" customWidth="1"/>
    <col min="41" max="41" width="6.5" style="199" hidden="1" customWidth="1"/>
    <col min="42" max="42" width="2.125" style="199" hidden="1" customWidth="1"/>
    <col min="43" max="43" width="6.5" style="199" customWidth="1"/>
    <col min="44" max="44" width="7.5" style="199" customWidth="1"/>
    <col min="45" max="64" width="3.125" style="199" customWidth="1"/>
    <col min="65" max="67" width="9" style="199" customWidth="1"/>
    <col min="68" max="16384" width="9" style="199"/>
  </cols>
  <sheetData>
    <row r="1" spans="1:44" ht="12" customHeight="1">
      <c r="A1" s="143" t="s">
        <v>367</v>
      </c>
      <c r="B1" s="143"/>
      <c r="C1" s="143"/>
      <c r="D1" s="143"/>
      <c r="E1" s="143"/>
      <c r="F1" s="143"/>
      <c r="G1" s="143"/>
      <c r="H1" s="143"/>
      <c r="I1" s="143"/>
      <c r="J1" s="143"/>
      <c r="K1" s="143"/>
      <c r="L1" s="195"/>
      <c r="M1" s="195"/>
      <c r="N1" s="195"/>
      <c r="O1" s="195"/>
      <c r="P1" s="195"/>
      <c r="Q1" s="195"/>
      <c r="R1" s="195"/>
      <c r="S1" s="143"/>
      <c r="T1" s="143"/>
      <c r="U1" s="143"/>
      <c r="V1" s="143"/>
      <c r="W1" s="174"/>
      <c r="X1" s="767" t="s">
        <v>279</v>
      </c>
      <c r="Y1" s="768"/>
      <c r="Z1" s="769"/>
      <c r="AA1" s="767" t="s">
        <v>280</v>
      </c>
      <c r="AB1" s="768"/>
      <c r="AC1" s="769"/>
      <c r="AD1" s="1134" t="s">
        <v>314</v>
      </c>
      <c r="AE1" s="1135"/>
      <c r="AF1" s="1135"/>
      <c r="AG1" s="1135"/>
      <c r="AH1" s="1136"/>
      <c r="AI1" s="143"/>
      <c r="AR1" s="320" t="s">
        <v>316</v>
      </c>
    </row>
    <row r="2" spans="1:44" ht="13.5" customHeight="1">
      <c r="A2" s="143"/>
      <c r="B2" s="143"/>
      <c r="C2" s="143"/>
      <c r="D2" s="143"/>
      <c r="E2" s="143"/>
      <c r="F2" s="143"/>
      <c r="G2" s="143"/>
      <c r="H2" s="143"/>
      <c r="I2" s="143"/>
      <c r="J2" s="143"/>
      <c r="K2" s="143"/>
      <c r="L2" s="195"/>
      <c r="M2" s="195"/>
      <c r="N2" s="195"/>
      <c r="O2" s="195"/>
      <c r="P2" s="195"/>
      <c r="Q2" s="195"/>
      <c r="R2" s="195"/>
      <c r="S2" s="143"/>
      <c r="T2" s="143"/>
      <c r="U2" s="196"/>
      <c r="V2" s="196"/>
      <c r="W2" s="197"/>
      <c r="X2" s="770"/>
      <c r="Y2" s="771"/>
      <c r="Z2" s="772"/>
      <c r="AA2" s="1155"/>
      <c r="AB2" s="1156"/>
      <c r="AC2" s="1157"/>
      <c r="AD2" s="1137" t="str">
        <f>IF(OR(内訳書!L2="○",内訳書!L2="◎"),内訳書!H2,"")</f>
        <v/>
      </c>
      <c r="AE2" s="1138"/>
      <c r="AF2" s="1138"/>
      <c r="AG2" s="1138"/>
      <c r="AH2" s="1143" t="str">
        <f>IF(AND(AR2=1,'内訳書 (変更）'!O2="○"),"(1)",IF(AND(AR2=1,'内訳書 (変更）'!O2="◎"),"(1)",IF(AND(AR2=2,'内訳書 (変更）'!O2="○"),"(2)",IF(AND(AR2=2,'内訳書 (変更）'!O2="◎"),"(2)",""))))</f>
        <v/>
      </c>
      <c r="AI2" s="143"/>
      <c r="AR2" s="333"/>
    </row>
    <row r="3" spans="1:44">
      <c r="A3" s="143"/>
      <c r="B3" s="143"/>
      <c r="C3" s="143"/>
      <c r="D3" s="143"/>
      <c r="E3" s="143"/>
      <c r="F3" s="143"/>
      <c r="G3" s="143"/>
      <c r="H3" s="143"/>
      <c r="I3" s="143"/>
      <c r="J3" s="143"/>
      <c r="K3" s="143"/>
      <c r="L3" s="195"/>
      <c r="M3" s="195"/>
      <c r="N3" s="195"/>
      <c r="O3" s="195"/>
      <c r="P3" s="195"/>
      <c r="Q3" s="195"/>
      <c r="R3" s="195"/>
      <c r="S3" s="143"/>
      <c r="T3" s="143"/>
      <c r="U3" s="196"/>
      <c r="V3" s="196"/>
      <c r="W3" s="197"/>
      <c r="X3" s="773"/>
      <c r="Y3" s="774"/>
      <c r="Z3" s="775"/>
      <c r="AA3" s="1158"/>
      <c r="AB3" s="1159"/>
      <c r="AC3" s="1160"/>
      <c r="AD3" s="1139"/>
      <c r="AE3" s="1140"/>
      <c r="AF3" s="1140"/>
      <c r="AG3" s="1140"/>
      <c r="AH3" s="1144"/>
      <c r="AI3" s="143"/>
    </row>
    <row r="4" spans="1:44">
      <c r="A4" s="143"/>
      <c r="B4" s="143"/>
      <c r="C4" s="143"/>
      <c r="D4" s="143"/>
      <c r="E4" s="144"/>
      <c r="F4" s="143"/>
      <c r="G4" s="143"/>
      <c r="H4" s="143"/>
      <c r="I4" s="143"/>
      <c r="J4" s="143"/>
      <c r="K4" s="143"/>
      <c r="L4" s="143"/>
      <c r="M4" s="143"/>
      <c r="N4" s="143"/>
      <c r="O4" s="143"/>
      <c r="P4" s="143"/>
      <c r="Q4" s="143"/>
      <c r="R4" s="143"/>
      <c r="S4" s="143"/>
      <c r="T4" s="143"/>
      <c r="U4" s="196"/>
      <c r="V4" s="196"/>
      <c r="W4" s="197"/>
      <c r="X4" s="776"/>
      <c r="Y4" s="777"/>
      <c r="Z4" s="778"/>
      <c r="AA4" s="1161"/>
      <c r="AB4" s="1162"/>
      <c r="AC4" s="1163"/>
      <c r="AD4" s="1141"/>
      <c r="AE4" s="1142"/>
      <c r="AF4" s="1142"/>
      <c r="AG4" s="1142"/>
      <c r="AH4" s="1145"/>
      <c r="AI4" s="143"/>
    </row>
    <row r="5" spans="1:44">
      <c r="A5" s="143"/>
      <c r="B5" s="143"/>
      <c r="C5" s="143"/>
      <c r="D5" s="143"/>
      <c r="E5" s="144"/>
      <c r="F5" s="143"/>
      <c r="G5" s="143"/>
      <c r="H5" s="143"/>
      <c r="I5" s="143"/>
      <c r="J5" s="143"/>
      <c r="K5" s="143"/>
      <c r="L5" s="143"/>
      <c r="M5" s="143"/>
      <c r="N5" s="143"/>
      <c r="O5" s="143"/>
      <c r="P5" s="143"/>
      <c r="Q5" s="143"/>
      <c r="R5" s="143"/>
      <c r="S5" s="143"/>
      <c r="T5" s="143"/>
      <c r="U5" s="198"/>
      <c r="V5" s="198"/>
      <c r="W5" s="198"/>
      <c r="X5" s="195"/>
      <c r="Y5" s="195"/>
      <c r="Z5" s="195"/>
      <c r="AA5" s="195"/>
      <c r="AB5" s="195"/>
      <c r="AC5" s="195"/>
      <c r="AD5" s="275"/>
      <c r="AE5" s="275"/>
      <c r="AF5" s="275"/>
      <c r="AG5" s="275"/>
      <c r="AH5" s="275"/>
      <c r="AI5" s="143"/>
    </row>
    <row r="6" spans="1:44" ht="17.25">
      <c r="A6" s="633" t="s">
        <v>278</v>
      </c>
      <c r="B6" s="633"/>
      <c r="C6" s="633"/>
      <c r="D6" s="633"/>
      <c r="E6" s="633"/>
      <c r="F6" s="633"/>
      <c r="G6" s="633"/>
      <c r="H6" s="633"/>
      <c r="I6" s="633"/>
      <c r="J6" s="633"/>
      <c r="K6" s="633"/>
      <c r="L6" s="633"/>
      <c r="M6" s="633"/>
      <c r="N6" s="633"/>
      <c r="O6" s="633"/>
      <c r="P6" s="633"/>
      <c r="Q6" s="633"/>
      <c r="R6" s="633"/>
      <c r="S6" s="633"/>
      <c r="T6" s="633"/>
      <c r="U6" s="633"/>
      <c r="V6" s="633"/>
      <c r="W6" s="633"/>
      <c r="X6" s="633"/>
      <c r="Y6" s="633"/>
      <c r="Z6" s="633"/>
      <c r="AA6" s="633"/>
      <c r="AB6" s="633"/>
      <c r="AC6" s="633"/>
      <c r="AD6" s="633"/>
      <c r="AE6" s="633"/>
      <c r="AF6" s="633"/>
      <c r="AG6" s="633"/>
      <c r="AH6" s="633"/>
      <c r="AI6" s="143"/>
    </row>
    <row r="7" spans="1:44">
      <c r="A7" s="186"/>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43"/>
    </row>
    <row r="8" spans="1:44">
      <c r="A8" s="143" t="s">
        <v>364</v>
      </c>
      <c r="B8" s="143"/>
      <c r="C8" s="143"/>
      <c r="D8" s="143"/>
      <c r="E8" s="143"/>
      <c r="F8" s="143"/>
      <c r="G8" s="143"/>
      <c r="H8" s="143"/>
      <c r="I8" s="143"/>
      <c r="J8" s="143"/>
      <c r="K8" s="143"/>
      <c r="L8" s="195"/>
      <c r="M8" s="195"/>
      <c r="N8" s="195"/>
      <c r="O8" s="195"/>
      <c r="P8" s="195"/>
      <c r="Q8" s="195"/>
      <c r="R8" s="195"/>
      <c r="S8" s="143"/>
      <c r="T8" s="143"/>
      <c r="U8" s="143"/>
      <c r="V8" s="143"/>
      <c r="W8" s="143"/>
      <c r="X8" s="143"/>
      <c r="Y8" s="143"/>
      <c r="Z8" s="143"/>
      <c r="AA8" s="143"/>
      <c r="AB8" s="143"/>
      <c r="AC8" s="143"/>
      <c r="AD8" s="143"/>
      <c r="AE8" s="143"/>
      <c r="AF8" s="143"/>
      <c r="AG8" s="143"/>
      <c r="AH8" s="143"/>
      <c r="AI8" s="143"/>
    </row>
    <row r="9" spans="1:44">
      <c r="A9" s="143"/>
      <c r="B9" s="143"/>
      <c r="C9" s="143"/>
      <c r="D9" s="143"/>
      <c r="E9" s="143"/>
      <c r="F9" s="143"/>
      <c r="G9" s="143"/>
      <c r="H9" s="143"/>
      <c r="I9" s="143"/>
      <c r="J9" s="143"/>
      <c r="K9" s="143"/>
      <c r="L9" s="195"/>
      <c r="M9" s="195"/>
      <c r="N9" s="195"/>
      <c r="O9" s="195"/>
      <c r="P9" s="195"/>
      <c r="Q9" s="195"/>
      <c r="R9" s="195"/>
      <c r="S9" s="143"/>
      <c r="T9" s="143"/>
      <c r="U9" s="143"/>
      <c r="V9" s="143"/>
      <c r="W9" s="143"/>
      <c r="X9" s="143"/>
      <c r="Y9" s="143"/>
      <c r="Z9" s="143"/>
      <c r="AA9" s="143"/>
      <c r="AB9" s="143"/>
      <c r="AC9" s="143"/>
      <c r="AD9" s="143"/>
      <c r="AE9" s="143"/>
      <c r="AF9" s="143"/>
      <c r="AG9" s="143"/>
      <c r="AH9" s="143"/>
      <c r="AI9" s="143"/>
    </row>
    <row r="10" spans="1:44" ht="15" thickBot="1">
      <c r="A10" s="166" t="s">
        <v>275</v>
      </c>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43"/>
    </row>
    <row r="11" spans="1:44" ht="24" customHeight="1">
      <c r="A11" s="510" t="str">
        <f>申込書!A16</f>
        <v>主催団体名</v>
      </c>
      <c r="B11" s="511"/>
      <c r="C11" s="511"/>
      <c r="D11" s="642"/>
      <c r="E11" s="1131" t="str">
        <f>IF(申込書!E16="","",申込書!E16)</f>
        <v/>
      </c>
      <c r="F11" s="1132"/>
      <c r="G11" s="1132"/>
      <c r="H11" s="1132"/>
      <c r="I11" s="1132"/>
      <c r="J11" s="1132"/>
      <c r="K11" s="1132"/>
      <c r="L11" s="1132"/>
      <c r="M11" s="1132"/>
      <c r="N11" s="1132"/>
      <c r="O11" s="1132"/>
      <c r="P11" s="1132"/>
      <c r="Q11" s="1132"/>
      <c r="R11" s="1132"/>
      <c r="S11" s="1132"/>
      <c r="T11" s="1132"/>
      <c r="U11" s="1132"/>
      <c r="V11" s="1132"/>
      <c r="W11" s="1132"/>
      <c r="X11" s="1132"/>
      <c r="Y11" s="1132"/>
      <c r="Z11" s="1132"/>
      <c r="AA11" s="1132"/>
      <c r="AB11" s="1132"/>
      <c r="AC11" s="1132"/>
      <c r="AD11" s="1132"/>
      <c r="AE11" s="1132"/>
      <c r="AF11" s="1132"/>
      <c r="AG11" s="1132"/>
      <c r="AH11" s="1133"/>
      <c r="AI11" s="143"/>
    </row>
    <row r="12" spans="1:44">
      <c r="A12" s="543" t="str">
        <f>申込書!A22</f>
        <v>所在地
または住所</v>
      </c>
      <c r="B12" s="544"/>
      <c r="C12" s="544"/>
      <c r="D12" s="545"/>
      <c r="E12" s="203" t="s">
        <v>10</v>
      </c>
      <c r="F12" s="1146" t="str">
        <f>IF(申込書!F22="","",申込書!F22)</f>
        <v/>
      </c>
      <c r="G12" s="1146"/>
      <c r="H12" s="1146"/>
      <c r="I12" s="1146"/>
      <c r="J12" s="1146"/>
      <c r="K12" s="1146"/>
      <c r="L12" s="1146"/>
      <c r="M12" s="1146"/>
      <c r="N12" s="1146"/>
      <c r="O12" s="1146"/>
      <c r="P12" s="1146"/>
      <c r="Q12" s="1146"/>
      <c r="R12" s="1146"/>
      <c r="S12" s="1146"/>
      <c r="T12" s="1146"/>
      <c r="U12" s="1146"/>
      <c r="V12" s="1146"/>
      <c r="W12" s="1146"/>
      <c r="X12" s="1146"/>
      <c r="Y12" s="1146"/>
      <c r="Z12" s="1146"/>
      <c r="AA12" s="1146"/>
      <c r="AB12" s="1146"/>
      <c r="AC12" s="1146"/>
      <c r="AD12" s="1146"/>
      <c r="AE12" s="1146"/>
      <c r="AF12" s="1146"/>
      <c r="AG12" s="1146"/>
      <c r="AH12" s="1147"/>
      <c r="AI12" s="143"/>
    </row>
    <row r="13" spans="1:44" ht="19.5" customHeight="1">
      <c r="A13" s="729"/>
      <c r="B13" s="730"/>
      <c r="C13" s="730"/>
      <c r="D13" s="731"/>
      <c r="E13" s="1148" t="str">
        <f>IF(申込書!E23="","",申込書!E23)</f>
        <v/>
      </c>
      <c r="F13" s="1148"/>
      <c r="G13" s="1148"/>
      <c r="H13" s="1148"/>
      <c r="I13" s="1148"/>
      <c r="J13" s="1148"/>
      <c r="K13" s="1148"/>
      <c r="L13" s="1148"/>
      <c r="M13" s="1148"/>
      <c r="N13" s="1148"/>
      <c r="O13" s="1148"/>
      <c r="P13" s="1148"/>
      <c r="Q13" s="1148"/>
      <c r="R13" s="1148"/>
      <c r="S13" s="1148"/>
      <c r="T13" s="1148"/>
      <c r="U13" s="1148"/>
      <c r="V13" s="1148"/>
      <c r="W13" s="1148"/>
      <c r="X13" s="1148"/>
      <c r="Y13" s="1148"/>
      <c r="Z13" s="1148"/>
      <c r="AA13" s="1148"/>
      <c r="AB13" s="1148"/>
      <c r="AC13" s="1148"/>
      <c r="AD13" s="1148"/>
      <c r="AE13" s="1148"/>
      <c r="AF13" s="1148"/>
      <c r="AG13" s="1148"/>
      <c r="AH13" s="1149"/>
      <c r="AI13" s="143"/>
    </row>
    <row r="14" spans="1:44">
      <c r="A14" s="685" t="str">
        <f>申込書!A24</f>
        <v>催事責任者</v>
      </c>
      <c r="B14" s="564"/>
      <c r="C14" s="564"/>
      <c r="D14" s="565"/>
      <c r="E14" s="689" t="s">
        <v>9</v>
      </c>
      <c r="F14" s="690"/>
      <c r="G14" s="691"/>
      <c r="H14" s="1121"/>
      <c r="I14" s="1122"/>
      <c r="J14" s="1122"/>
      <c r="K14" s="1122"/>
      <c r="L14" s="1122"/>
      <c r="M14" s="1122"/>
      <c r="N14" s="1122"/>
      <c r="O14" s="1122"/>
      <c r="P14" s="1122"/>
      <c r="Q14" s="1122"/>
      <c r="R14" s="1122"/>
      <c r="S14" s="1150"/>
      <c r="T14" s="689" t="s">
        <v>23</v>
      </c>
      <c r="U14" s="690"/>
      <c r="V14" s="691"/>
      <c r="W14" s="1121"/>
      <c r="X14" s="1122"/>
      <c r="Y14" s="1122"/>
      <c r="Z14" s="1122"/>
      <c r="AA14" s="1122"/>
      <c r="AB14" s="1122"/>
      <c r="AC14" s="1122"/>
      <c r="AD14" s="1122"/>
      <c r="AE14" s="1122"/>
      <c r="AF14" s="1122"/>
      <c r="AG14" s="1122"/>
      <c r="AH14" s="1123"/>
      <c r="AI14" s="143"/>
    </row>
    <row r="15" spans="1:44" ht="30.75" customHeight="1">
      <c r="A15" s="686"/>
      <c r="B15" s="687"/>
      <c r="C15" s="687"/>
      <c r="D15" s="688"/>
      <c r="E15" s="587"/>
      <c r="F15" s="588"/>
      <c r="G15" s="589"/>
      <c r="H15" s="1151" t="str">
        <f>IF(申込書!H25="","",申込書!H25)</f>
        <v/>
      </c>
      <c r="I15" s="1124"/>
      <c r="J15" s="1124"/>
      <c r="K15" s="1124"/>
      <c r="L15" s="1124"/>
      <c r="M15" s="1124"/>
      <c r="N15" s="1124"/>
      <c r="O15" s="1124"/>
      <c r="P15" s="1124"/>
      <c r="Q15" s="1124"/>
      <c r="R15" s="1124"/>
      <c r="S15" s="1152"/>
      <c r="T15" s="587"/>
      <c r="U15" s="588"/>
      <c r="V15" s="589"/>
      <c r="W15" s="1124" t="str">
        <f>IF(申込書!W25="","",申込書!W25)</f>
        <v/>
      </c>
      <c r="X15" s="1124"/>
      <c r="Y15" s="1124"/>
      <c r="Z15" s="1124"/>
      <c r="AA15" s="1124"/>
      <c r="AB15" s="1124"/>
      <c r="AC15" s="1124"/>
      <c r="AD15" s="1124"/>
      <c r="AE15" s="1124"/>
      <c r="AF15" s="1124"/>
      <c r="AG15" s="1124"/>
      <c r="AH15" s="1153"/>
      <c r="AI15" s="143"/>
    </row>
    <row r="16" spans="1:44" ht="11.25" customHeight="1">
      <c r="A16" s="605" t="str">
        <f>申込書!A26</f>
        <v>催事担当者</v>
      </c>
      <c r="B16" s="606"/>
      <c r="C16" s="606"/>
      <c r="D16" s="606"/>
      <c r="E16" s="713" t="s">
        <v>30</v>
      </c>
      <c r="F16" s="714"/>
      <c r="G16" s="715"/>
      <c r="H16" s="1120" t="str">
        <f>IF(申込書!H26="","",申込書!H26)</f>
        <v/>
      </c>
      <c r="I16" s="1120"/>
      <c r="J16" s="1120"/>
      <c r="K16" s="1120"/>
      <c r="L16" s="1120"/>
      <c r="M16" s="1120"/>
      <c r="N16" s="1120"/>
      <c r="O16" s="1120"/>
      <c r="P16" s="1120"/>
      <c r="Q16" s="1120"/>
      <c r="R16" s="1120"/>
      <c r="S16" s="1120"/>
      <c r="T16" s="704" t="s">
        <v>23</v>
      </c>
      <c r="U16" s="704"/>
      <c r="V16" s="704"/>
      <c r="W16" s="1121"/>
      <c r="X16" s="1122"/>
      <c r="Y16" s="1122"/>
      <c r="Z16" s="1122"/>
      <c r="AA16" s="1122"/>
      <c r="AB16" s="1122"/>
      <c r="AC16" s="1122"/>
      <c r="AD16" s="1122"/>
      <c r="AE16" s="1122"/>
      <c r="AF16" s="1122"/>
      <c r="AG16" s="1122"/>
      <c r="AH16" s="1123"/>
      <c r="AI16" s="143"/>
    </row>
    <row r="17" spans="1:35" ht="24" customHeight="1">
      <c r="A17" s="722"/>
      <c r="B17" s="723"/>
      <c r="C17" s="723"/>
      <c r="D17" s="723"/>
      <c r="E17" s="587" t="s">
        <v>9</v>
      </c>
      <c r="F17" s="588"/>
      <c r="G17" s="589"/>
      <c r="H17" s="1124" t="str">
        <f>IF(申込書!H27="","",申込書!H27)</f>
        <v/>
      </c>
      <c r="I17" s="1124"/>
      <c r="J17" s="1124"/>
      <c r="K17" s="1124"/>
      <c r="L17" s="1124"/>
      <c r="M17" s="1124"/>
      <c r="N17" s="1124"/>
      <c r="O17" s="1124"/>
      <c r="P17" s="1124"/>
      <c r="Q17" s="1124"/>
      <c r="R17" s="1124"/>
      <c r="S17" s="1124"/>
      <c r="T17" s="705"/>
      <c r="U17" s="705"/>
      <c r="V17" s="705"/>
      <c r="W17" s="1125" t="str">
        <f>IF(申込書!W27="","",申込書!W27)</f>
        <v/>
      </c>
      <c r="X17" s="1126"/>
      <c r="Y17" s="1126"/>
      <c r="Z17" s="1126"/>
      <c r="AA17" s="1126"/>
      <c r="AB17" s="1126"/>
      <c r="AC17" s="1126"/>
      <c r="AD17" s="1126"/>
      <c r="AE17" s="1126"/>
      <c r="AF17" s="1126"/>
      <c r="AG17" s="1126"/>
      <c r="AH17" s="1127"/>
      <c r="AI17" s="143"/>
    </row>
    <row r="18" spans="1:35" ht="19.5" customHeight="1" thickBot="1">
      <c r="A18" s="1088"/>
      <c r="B18" s="1089"/>
      <c r="C18" s="1089"/>
      <c r="D18" s="1089"/>
      <c r="E18" s="1128" t="s">
        <v>28</v>
      </c>
      <c r="F18" s="1128"/>
      <c r="G18" s="1128"/>
      <c r="H18" s="1129" t="str">
        <f>IF(申込書!H28="","",申込書!H28)</f>
        <v/>
      </c>
      <c r="I18" s="1129"/>
      <c r="J18" s="1129"/>
      <c r="K18" s="1129"/>
      <c r="L18" s="1129"/>
      <c r="M18" s="1129"/>
      <c r="N18" s="1129"/>
      <c r="O18" s="1129"/>
      <c r="P18" s="1129"/>
      <c r="Q18" s="1129"/>
      <c r="R18" s="1129"/>
      <c r="S18" s="1129"/>
      <c r="T18" s="1154" t="s">
        <v>29</v>
      </c>
      <c r="U18" s="1154"/>
      <c r="V18" s="1154"/>
      <c r="W18" s="1129" t="str">
        <f>IF(申込書!W28="","",申込書!W28)</f>
        <v/>
      </c>
      <c r="X18" s="1129"/>
      <c r="Y18" s="1129"/>
      <c r="Z18" s="1129"/>
      <c r="AA18" s="1129"/>
      <c r="AB18" s="1129"/>
      <c r="AC18" s="1129"/>
      <c r="AD18" s="1129"/>
      <c r="AE18" s="1129"/>
      <c r="AF18" s="1129"/>
      <c r="AG18" s="1129"/>
      <c r="AH18" s="1164"/>
      <c r="AI18" s="143"/>
    </row>
    <row r="19" spans="1:35">
      <c r="A19" s="195"/>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43"/>
    </row>
    <row r="20" spans="1:35" ht="12" customHeight="1">
      <c r="A20" s="1087" t="s">
        <v>283</v>
      </c>
      <c r="B20" s="1087"/>
      <c r="C20" s="1087"/>
      <c r="D20" s="1087"/>
      <c r="E20" s="1087"/>
      <c r="F20" s="1087"/>
      <c r="G20" s="1087"/>
      <c r="H20" s="1130" t="str">
        <f>IF(OR(内訳書!L2="○",内訳書!L2="◎"),内訳書!H2,"")</f>
        <v/>
      </c>
      <c r="I20" s="1130"/>
      <c r="J20" s="1130"/>
      <c r="K20" s="1130"/>
      <c r="L20" s="321" t="str">
        <f>IF(OR(AR2=1,AR2=""),"","(1)")</f>
        <v/>
      </c>
      <c r="M20" s="462" t="s">
        <v>285</v>
      </c>
      <c r="N20" s="462"/>
      <c r="O20" s="462"/>
      <c r="P20" s="462"/>
      <c r="Q20" s="462"/>
      <c r="R20" s="462"/>
      <c r="S20" s="462"/>
      <c r="T20" s="462"/>
      <c r="U20" s="462"/>
      <c r="V20" s="462"/>
      <c r="W20" s="462"/>
      <c r="X20" s="462"/>
      <c r="Y20" s="462"/>
      <c r="Z20" s="462"/>
      <c r="AA20" s="462"/>
      <c r="AB20" s="462"/>
      <c r="AC20" s="462"/>
      <c r="AD20" s="462"/>
      <c r="AE20" s="462"/>
      <c r="AF20" s="462"/>
      <c r="AG20" s="462"/>
      <c r="AH20" s="462"/>
      <c r="AI20" s="143"/>
    </row>
    <row r="21" spans="1:35" ht="12" customHeight="1">
      <c r="A21" s="1087" t="s">
        <v>286</v>
      </c>
      <c r="B21" s="1087"/>
      <c r="C21" s="1087"/>
      <c r="D21" s="1087"/>
      <c r="E21" s="1087"/>
      <c r="F21" s="1087"/>
      <c r="G21" s="1087"/>
      <c r="H21" s="1087"/>
      <c r="I21" s="1087"/>
      <c r="J21" s="1087"/>
      <c r="K21" s="1087"/>
      <c r="L21" s="1087"/>
      <c r="M21" s="1087"/>
      <c r="N21" s="1087"/>
      <c r="O21" s="1087"/>
      <c r="P21" s="1087"/>
      <c r="Q21" s="1087"/>
      <c r="R21" s="1087"/>
      <c r="S21" s="1087"/>
      <c r="T21" s="1087"/>
      <c r="U21" s="1087"/>
      <c r="V21" s="1087"/>
      <c r="W21" s="1087"/>
      <c r="X21" s="1087"/>
      <c r="Y21" s="1087"/>
      <c r="Z21" s="1087"/>
      <c r="AA21" s="1087"/>
      <c r="AB21" s="1087"/>
      <c r="AC21" s="1087"/>
      <c r="AD21" s="1087"/>
      <c r="AE21" s="1087"/>
      <c r="AF21" s="1087"/>
      <c r="AG21" s="1087"/>
      <c r="AH21" s="1087"/>
      <c r="AI21" s="143"/>
    </row>
    <row r="22" spans="1:35">
      <c r="A22" s="517" t="s">
        <v>67</v>
      </c>
      <c r="B22" s="517"/>
      <c r="C22" s="517"/>
      <c r="D22" s="517"/>
      <c r="E22" s="517"/>
      <c r="F22" s="517"/>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c r="AD22" s="517"/>
      <c r="AE22" s="517"/>
      <c r="AF22" s="517"/>
      <c r="AG22" s="517"/>
      <c r="AH22" s="517"/>
      <c r="AI22" s="143"/>
    </row>
    <row r="23" spans="1:35" ht="15" thickBot="1">
      <c r="A23" s="165" t="s">
        <v>33</v>
      </c>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43"/>
    </row>
    <row r="24" spans="1:35">
      <c r="A24" s="1115" t="s">
        <v>179</v>
      </c>
      <c r="B24" s="1116"/>
      <c r="C24" s="1116"/>
      <c r="D24" s="1116"/>
      <c r="E24" s="1118" t="s">
        <v>183</v>
      </c>
      <c r="F24" s="1118"/>
      <c r="G24" s="1118"/>
      <c r="H24" s="1118"/>
      <c r="I24" s="1118"/>
      <c r="J24" s="1118"/>
      <c r="K24" s="1118"/>
      <c r="L24" s="1118"/>
      <c r="M24" s="1118"/>
      <c r="N24" s="1118"/>
      <c r="O24" s="1118"/>
      <c r="P24" s="1118"/>
      <c r="Q24" s="1118"/>
      <c r="R24" s="1118"/>
      <c r="S24" s="1118"/>
      <c r="T24" s="1118"/>
      <c r="U24" s="1118"/>
      <c r="V24" s="1118"/>
      <c r="W24" s="1118"/>
      <c r="X24" s="1118"/>
      <c r="Y24" s="1118"/>
      <c r="Z24" s="1118"/>
      <c r="AA24" s="1118"/>
      <c r="AB24" s="1118"/>
      <c r="AC24" s="1118"/>
      <c r="AD24" s="1118"/>
      <c r="AE24" s="1118"/>
      <c r="AF24" s="1118"/>
      <c r="AG24" s="1118"/>
      <c r="AH24" s="1119"/>
      <c r="AI24" s="143"/>
    </row>
    <row r="25" spans="1:35" ht="13.5" customHeight="1">
      <c r="A25" s="590"/>
      <c r="B25" s="591"/>
      <c r="C25" s="591"/>
      <c r="D25" s="591"/>
      <c r="E25" s="645" t="s">
        <v>164</v>
      </c>
      <c r="F25" s="646"/>
      <c r="G25" s="647"/>
      <c r="H25" s="617" t="s">
        <v>180</v>
      </c>
      <c r="I25" s="618"/>
      <c r="J25" s="619"/>
      <c r="K25" s="648"/>
      <c r="L25" s="649"/>
      <c r="M25" s="649"/>
      <c r="N25" s="649"/>
      <c r="O25" s="649"/>
      <c r="P25" s="650"/>
      <c r="Q25" s="617" t="s">
        <v>181</v>
      </c>
      <c r="R25" s="618"/>
      <c r="S25" s="619"/>
      <c r="T25" s="648"/>
      <c r="U25" s="649"/>
      <c r="V25" s="649"/>
      <c r="W25" s="649"/>
      <c r="X25" s="649"/>
      <c r="Y25" s="650"/>
      <c r="Z25" s="617" t="s">
        <v>182</v>
      </c>
      <c r="AA25" s="618"/>
      <c r="AB25" s="619"/>
      <c r="AC25" s="648"/>
      <c r="AD25" s="649"/>
      <c r="AE25" s="649"/>
      <c r="AF25" s="649"/>
      <c r="AG25" s="649"/>
      <c r="AH25" s="790"/>
      <c r="AI25" s="143"/>
    </row>
    <row r="26" spans="1:35" ht="13.5" customHeight="1">
      <c r="A26" s="590"/>
      <c r="B26" s="591"/>
      <c r="C26" s="591"/>
      <c r="D26" s="591"/>
      <c r="E26" s="645" t="s">
        <v>165</v>
      </c>
      <c r="F26" s="646"/>
      <c r="G26" s="647"/>
      <c r="H26" s="620"/>
      <c r="I26" s="621"/>
      <c r="J26" s="622"/>
      <c r="K26" s="651"/>
      <c r="L26" s="652"/>
      <c r="M26" s="652"/>
      <c r="N26" s="652"/>
      <c r="O26" s="652"/>
      <c r="P26" s="653"/>
      <c r="Q26" s="620"/>
      <c r="R26" s="621"/>
      <c r="S26" s="622"/>
      <c r="T26" s="651"/>
      <c r="U26" s="652"/>
      <c r="V26" s="652"/>
      <c r="W26" s="652"/>
      <c r="X26" s="652"/>
      <c r="Y26" s="653"/>
      <c r="Z26" s="620"/>
      <c r="AA26" s="621"/>
      <c r="AB26" s="622"/>
      <c r="AC26" s="651"/>
      <c r="AD26" s="652"/>
      <c r="AE26" s="652"/>
      <c r="AF26" s="652"/>
      <c r="AG26" s="652"/>
      <c r="AH26" s="791"/>
      <c r="AI26" s="143"/>
    </row>
    <row r="27" spans="1:35" ht="13.5" customHeight="1">
      <c r="A27" s="590"/>
      <c r="B27" s="591"/>
      <c r="C27" s="591"/>
      <c r="D27" s="591"/>
      <c r="E27" s="645" t="s">
        <v>166</v>
      </c>
      <c r="F27" s="646"/>
      <c r="G27" s="647"/>
      <c r="H27" s="620"/>
      <c r="I27" s="621"/>
      <c r="J27" s="622"/>
      <c r="K27" s="651"/>
      <c r="L27" s="652"/>
      <c r="M27" s="652"/>
      <c r="N27" s="652"/>
      <c r="O27" s="652"/>
      <c r="P27" s="653"/>
      <c r="Q27" s="620"/>
      <c r="R27" s="621"/>
      <c r="S27" s="622"/>
      <c r="T27" s="651"/>
      <c r="U27" s="652"/>
      <c r="V27" s="652"/>
      <c r="W27" s="652"/>
      <c r="X27" s="652"/>
      <c r="Y27" s="653"/>
      <c r="Z27" s="620"/>
      <c r="AA27" s="621"/>
      <c r="AB27" s="622"/>
      <c r="AC27" s="651"/>
      <c r="AD27" s="652"/>
      <c r="AE27" s="652"/>
      <c r="AF27" s="652"/>
      <c r="AG27" s="652"/>
      <c r="AH27" s="791"/>
      <c r="AI27" s="143"/>
    </row>
    <row r="28" spans="1:35">
      <c r="A28" s="1117"/>
      <c r="B28" s="573"/>
      <c r="C28" s="573"/>
      <c r="D28" s="573"/>
      <c r="E28" s="1107" t="s">
        <v>167</v>
      </c>
      <c r="F28" s="1108"/>
      <c r="G28" s="1109"/>
      <c r="H28" s="620"/>
      <c r="I28" s="621"/>
      <c r="J28" s="622"/>
      <c r="K28" s="1110"/>
      <c r="L28" s="472"/>
      <c r="M28" s="472"/>
      <c r="N28" s="472"/>
      <c r="O28" s="472"/>
      <c r="P28" s="1111"/>
      <c r="Q28" s="620"/>
      <c r="R28" s="621"/>
      <c r="S28" s="622"/>
      <c r="T28" s="1110"/>
      <c r="U28" s="472"/>
      <c r="V28" s="472"/>
      <c r="W28" s="472"/>
      <c r="X28" s="472"/>
      <c r="Y28" s="1111"/>
      <c r="Z28" s="620"/>
      <c r="AA28" s="621"/>
      <c r="AB28" s="622"/>
      <c r="AC28" s="1110"/>
      <c r="AD28" s="472"/>
      <c r="AE28" s="472"/>
      <c r="AF28" s="472"/>
      <c r="AG28" s="472"/>
      <c r="AH28" s="473"/>
      <c r="AI28" s="143"/>
    </row>
    <row r="29" spans="1:35">
      <c r="A29" s="605" t="s">
        <v>46</v>
      </c>
      <c r="B29" s="606"/>
      <c r="C29" s="606"/>
      <c r="D29" s="606"/>
      <c r="E29" s="575"/>
      <c r="F29" s="575"/>
      <c r="G29" s="575"/>
      <c r="H29" s="575"/>
      <c r="I29" s="575"/>
      <c r="J29" s="575"/>
      <c r="K29" s="575"/>
      <c r="L29" s="575"/>
      <c r="M29" s="609"/>
      <c r="N29" s="564" t="str">
        <f>IF(E29="有料","金額","")</f>
        <v/>
      </c>
      <c r="O29" s="564"/>
      <c r="P29" s="564"/>
      <c r="Q29" s="564"/>
      <c r="R29" s="564"/>
      <c r="S29" s="613"/>
      <c r="T29" s="614"/>
      <c r="U29" s="614"/>
      <c r="V29" s="614"/>
      <c r="W29" s="614"/>
      <c r="X29" s="614"/>
      <c r="Y29" s="614"/>
      <c r="Z29" s="614"/>
      <c r="AA29" s="615" t="str">
        <f>IF(E29="有料","円","")</f>
        <v/>
      </c>
      <c r="AB29" s="615"/>
      <c r="AC29" s="615"/>
      <c r="AD29" s="615"/>
      <c r="AE29" s="615"/>
      <c r="AF29" s="615"/>
      <c r="AG29" s="615"/>
      <c r="AH29" s="616"/>
      <c r="AI29" s="143"/>
    </row>
    <row r="30" spans="1:35" ht="12.75" thickBot="1">
      <c r="A30" s="1088"/>
      <c r="B30" s="1089"/>
      <c r="C30" s="1089"/>
      <c r="D30" s="1089"/>
      <c r="E30" s="1112"/>
      <c r="F30" s="1112"/>
      <c r="G30" s="1112"/>
      <c r="H30" s="1112"/>
      <c r="I30" s="1112"/>
      <c r="J30" s="1112"/>
      <c r="K30" s="1112"/>
      <c r="L30" s="1112"/>
      <c r="M30" s="1113"/>
      <c r="N30" s="567" t="str">
        <f>IF(E29="有料","入場料の額に段階がある場合には、最高の額をご記入ください。","")</f>
        <v/>
      </c>
      <c r="O30" s="567"/>
      <c r="P30" s="567"/>
      <c r="Q30" s="567"/>
      <c r="R30" s="567"/>
      <c r="S30" s="567"/>
      <c r="T30" s="567"/>
      <c r="U30" s="567"/>
      <c r="V30" s="567"/>
      <c r="W30" s="567"/>
      <c r="X30" s="567"/>
      <c r="Y30" s="567"/>
      <c r="Z30" s="567"/>
      <c r="AA30" s="567"/>
      <c r="AB30" s="567"/>
      <c r="AC30" s="567"/>
      <c r="AD30" s="567"/>
      <c r="AE30" s="567"/>
      <c r="AF30" s="567"/>
      <c r="AG30" s="567"/>
      <c r="AH30" s="1114"/>
      <c r="AI30" s="143"/>
    </row>
    <row r="31" spans="1:35" ht="12.75" thickBot="1">
      <c r="A31" s="167"/>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43"/>
    </row>
    <row r="32" spans="1:35" ht="15" thickBot="1">
      <c r="A32" s="166" t="s">
        <v>57</v>
      </c>
      <c r="B32" s="173"/>
      <c r="C32" s="173"/>
      <c r="D32" s="173"/>
      <c r="E32" s="173"/>
      <c r="F32" s="173"/>
      <c r="G32" s="173"/>
      <c r="H32" s="173"/>
      <c r="I32" s="173"/>
      <c r="J32" s="173"/>
      <c r="K32" s="173"/>
      <c r="L32" s="173"/>
      <c r="M32" s="173"/>
      <c r="N32" s="173"/>
      <c r="O32" s="173"/>
      <c r="P32" s="173"/>
      <c r="Q32" s="173"/>
      <c r="R32" s="173"/>
      <c r="S32" s="173"/>
      <c r="T32" s="173"/>
      <c r="U32" s="143"/>
      <c r="V32" s="143"/>
      <c r="W32" s="143"/>
      <c r="X32" s="143"/>
      <c r="Y32" s="143"/>
      <c r="Z32" s="724" t="s">
        <v>56</v>
      </c>
      <c r="AA32" s="634"/>
      <c r="AB32" s="634"/>
      <c r="AC32" s="634"/>
      <c r="AD32" s="634"/>
      <c r="AE32" s="634"/>
      <c r="AF32" s="634"/>
      <c r="AG32" s="634"/>
      <c r="AH32" s="677"/>
      <c r="AI32" s="143"/>
    </row>
    <row r="33" spans="1:41" ht="13.5" customHeight="1">
      <c r="A33" s="724" t="s">
        <v>59</v>
      </c>
      <c r="B33" s="634"/>
      <c r="C33" s="634"/>
      <c r="D33" s="634"/>
      <c r="E33" s="634"/>
      <c r="F33" s="634"/>
      <c r="G33" s="635"/>
      <c r="H33" s="676" t="s">
        <v>50</v>
      </c>
      <c r="I33" s="634"/>
      <c r="J33" s="634"/>
      <c r="K33" s="634"/>
      <c r="L33" s="634"/>
      <c r="M33" s="635"/>
      <c r="N33" s="676" t="s">
        <v>52</v>
      </c>
      <c r="O33" s="634"/>
      <c r="P33" s="634"/>
      <c r="Q33" s="634"/>
      <c r="R33" s="634"/>
      <c r="S33" s="635"/>
      <c r="T33" s="676" t="s">
        <v>54</v>
      </c>
      <c r="U33" s="634"/>
      <c r="V33" s="634"/>
      <c r="W33" s="634"/>
      <c r="X33" s="634"/>
      <c r="Y33" s="677"/>
      <c r="Z33" s="579" t="s">
        <v>230</v>
      </c>
      <c r="AA33" s="580"/>
      <c r="AB33" s="580"/>
      <c r="AC33" s="580"/>
      <c r="AD33" s="580"/>
      <c r="AE33" s="580"/>
      <c r="AF33" s="580"/>
      <c r="AG33" s="580"/>
      <c r="AH33" s="581"/>
      <c r="AI33" s="143"/>
    </row>
    <row r="34" spans="1:41" ht="14.25" customHeight="1" thickBot="1">
      <c r="A34" s="725"/>
      <c r="B34" s="679"/>
      <c r="C34" s="679"/>
      <c r="D34" s="679"/>
      <c r="E34" s="679"/>
      <c r="F34" s="679"/>
      <c r="G34" s="680"/>
      <c r="H34" s="678" t="s">
        <v>228</v>
      </c>
      <c r="I34" s="679"/>
      <c r="J34" s="679"/>
      <c r="K34" s="679"/>
      <c r="L34" s="679"/>
      <c r="M34" s="680"/>
      <c r="N34" s="678" t="s">
        <v>227</v>
      </c>
      <c r="O34" s="679"/>
      <c r="P34" s="679"/>
      <c r="Q34" s="679"/>
      <c r="R34" s="679"/>
      <c r="S34" s="680"/>
      <c r="T34" s="678" t="s">
        <v>226</v>
      </c>
      <c r="U34" s="679"/>
      <c r="V34" s="679"/>
      <c r="W34" s="679"/>
      <c r="X34" s="679"/>
      <c r="Y34" s="681"/>
      <c r="Z34" s="746" t="s">
        <v>58</v>
      </c>
      <c r="AA34" s="747"/>
      <c r="AB34" s="747"/>
      <c r="AC34" s="747"/>
      <c r="AD34" s="747"/>
      <c r="AE34" s="747"/>
      <c r="AF34" s="747"/>
      <c r="AG34" s="747"/>
      <c r="AH34" s="748"/>
      <c r="AI34" s="143"/>
    </row>
    <row r="35" spans="1:41" ht="15" customHeight="1" thickTop="1">
      <c r="A35" s="525"/>
      <c r="B35" s="526"/>
      <c r="C35" s="526"/>
      <c r="D35" s="526"/>
      <c r="E35" s="526"/>
      <c r="F35" s="526"/>
      <c r="G35" s="527"/>
      <c r="H35" s="629"/>
      <c r="I35" s="531"/>
      <c r="J35" s="531"/>
      <c r="K35" s="531"/>
      <c r="L35" s="531"/>
      <c r="M35" s="630"/>
      <c r="N35" s="629"/>
      <c r="O35" s="531"/>
      <c r="P35" s="531"/>
      <c r="Q35" s="531"/>
      <c r="R35" s="531"/>
      <c r="S35" s="630"/>
      <c r="T35" s="629"/>
      <c r="U35" s="531"/>
      <c r="V35" s="531"/>
      <c r="W35" s="531"/>
      <c r="X35" s="531"/>
      <c r="Y35" s="630"/>
      <c r="Z35" s="1104"/>
      <c r="AA35" s="1105"/>
      <c r="AB35" s="1105"/>
      <c r="AC35" s="1105"/>
      <c r="AD35" s="1105"/>
      <c r="AE35" s="1105"/>
      <c r="AF35" s="1105"/>
      <c r="AG35" s="1105"/>
      <c r="AH35" s="1106"/>
      <c r="AI35" s="143"/>
    </row>
    <row r="36" spans="1:41" ht="15" customHeight="1">
      <c r="A36" s="528"/>
      <c r="B36" s="529"/>
      <c r="C36" s="529"/>
      <c r="D36" s="529"/>
      <c r="E36" s="529"/>
      <c r="F36" s="529"/>
      <c r="G36" s="530"/>
      <c r="H36" s="631"/>
      <c r="I36" s="472"/>
      <c r="J36" s="472"/>
      <c r="K36" s="472"/>
      <c r="L36" s="472"/>
      <c r="M36" s="632"/>
      <c r="N36" s="631"/>
      <c r="O36" s="472"/>
      <c r="P36" s="472"/>
      <c r="Q36" s="472"/>
      <c r="R36" s="472"/>
      <c r="S36" s="632"/>
      <c r="T36" s="631"/>
      <c r="U36" s="472"/>
      <c r="V36" s="472"/>
      <c r="W36" s="472"/>
      <c r="X36" s="472"/>
      <c r="Y36" s="632"/>
      <c r="Z36" s="501"/>
      <c r="AA36" s="502"/>
      <c r="AB36" s="502"/>
      <c r="AC36" s="502"/>
      <c r="AD36" s="502"/>
      <c r="AE36" s="502"/>
      <c r="AF36" s="502"/>
      <c r="AG36" s="502"/>
      <c r="AH36" s="503"/>
      <c r="AI36" s="143"/>
    </row>
    <row r="37" spans="1:41" ht="15" customHeight="1">
      <c r="A37" s="665"/>
      <c r="B37" s="666"/>
      <c r="C37" s="666"/>
      <c r="D37" s="666"/>
      <c r="E37" s="666"/>
      <c r="F37" s="666"/>
      <c r="G37" s="667"/>
      <c r="H37" s="555"/>
      <c r="I37" s="556"/>
      <c r="J37" s="556"/>
      <c r="K37" s="556"/>
      <c r="L37" s="556"/>
      <c r="M37" s="562"/>
      <c r="N37" s="555"/>
      <c r="O37" s="556"/>
      <c r="P37" s="556"/>
      <c r="Q37" s="556"/>
      <c r="R37" s="556"/>
      <c r="S37" s="562"/>
      <c r="T37" s="555"/>
      <c r="U37" s="556"/>
      <c r="V37" s="556"/>
      <c r="W37" s="556"/>
      <c r="X37" s="556"/>
      <c r="Y37" s="668"/>
      <c r="Z37" s="1098"/>
      <c r="AA37" s="1099"/>
      <c r="AB37" s="1099"/>
      <c r="AC37" s="1099"/>
      <c r="AD37" s="1099"/>
      <c r="AE37" s="1099"/>
      <c r="AF37" s="1099"/>
      <c r="AG37" s="1099"/>
      <c r="AH37" s="1100"/>
      <c r="AI37" s="143"/>
      <c r="AK37" s="201"/>
    </row>
    <row r="38" spans="1:41" ht="15" customHeight="1">
      <c r="A38" s="665"/>
      <c r="B38" s="666"/>
      <c r="C38" s="666"/>
      <c r="D38" s="666"/>
      <c r="E38" s="666"/>
      <c r="F38" s="666"/>
      <c r="G38" s="667"/>
      <c r="H38" s="555"/>
      <c r="I38" s="556"/>
      <c r="J38" s="556"/>
      <c r="K38" s="556"/>
      <c r="L38" s="556"/>
      <c r="M38" s="562"/>
      <c r="N38" s="555"/>
      <c r="O38" s="556"/>
      <c r="P38" s="556"/>
      <c r="Q38" s="556"/>
      <c r="R38" s="556"/>
      <c r="S38" s="562"/>
      <c r="T38" s="555"/>
      <c r="U38" s="556"/>
      <c r="V38" s="556"/>
      <c r="W38" s="556"/>
      <c r="X38" s="556"/>
      <c r="Y38" s="668"/>
      <c r="Z38" s="659"/>
      <c r="AA38" s="660"/>
      <c r="AB38" s="660"/>
      <c r="AC38" s="660"/>
      <c r="AD38" s="660"/>
      <c r="AE38" s="660"/>
      <c r="AF38" s="660"/>
      <c r="AG38" s="660"/>
      <c r="AH38" s="661"/>
      <c r="AI38" s="143"/>
    </row>
    <row r="39" spans="1:41" ht="15" customHeight="1">
      <c r="A39" s="665"/>
      <c r="B39" s="666"/>
      <c r="C39" s="666"/>
      <c r="D39" s="666"/>
      <c r="E39" s="666"/>
      <c r="F39" s="666"/>
      <c r="G39" s="667"/>
      <c r="H39" s="555"/>
      <c r="I39" s="556"/>
      <c r="J39" s="556"/>
      <c r="K39" s="556"/>
      <c r="L39" s="556"/>
      <c r="M39" s="562"/>
      <c r="N39" s="555"/>
      <c r="O39" s="556"/>
      <c r="P39" s="556"/>
      <c r="Q39" s="556"/>
      <c r="R39" s="556"/>
      <c r="S39" s="562"/>
      <c r="T39" s="555"/>
      <c r="U39" s="556"/>
      <c r="V39" s="556"/>
      <c r="W39" s="556"/>
      <c r="X39" s="556"/>
      <c r="Y39" s="668"/>
      <c r="Z39" s="1101"/>
      <c r="AA39" s="1102"/>
      <c r="AB39" s="1102"/>
      <c r="AC39" s="1102"/>
      <c r="AD39" s="1102"/>
      <c r="AE39" s="1102"/>
      <c r="AF39" s="1102"/>
      <c r="AG39" s="1102"/>
      <c r="AH39" s="1103"/>
      <c r="AI39" s="143"/>
    </row>
    <row r="40" spans="1:41" ht="15" customHeight="1">
      <c r="A40" s="665"/>
      <c r="B40" s="666"/>
      <c r="C40" s="666"/>
      <c r="D40" s="666"/>
      <c r="E40" s="666"/>
      <c r="F40" s="666"/>
      <c r="G40" s="667"/>
      <c r="H40" s="555"/>
      <c r="I40" s="556"/>
      <c r="J40" s="556"/>
      <c r="K40" s="556"/>
      <c r="L40" s="556"/>
      <c r="M40" s="562"/>
      <c r="N40" s="555"/>
      <c r="O40" s="556"/>
      <c r="P40" s="556"/>
      <c r="Q40" s="556"/>
      <c r="R40" s="556"/>
      <c r="S40" s="562"/>
      <c r="T40" s="555"/>
      <c r="U40" s="556"/>
      <c r="V40" s="556"/>
      <c r="W40" s="556"/>
      <c r="X40" s="556"/>
      <c r="Y40" s="668"/>
      <c r="Z40" s="501"/>
      <c r="AA40" s="502"/>
      <c r="AB40" s="502"/>
      <c r="AC40" s="502"/>
      <c r="AD40" s="502"/>
      <c r="AE40" s="502"/>
      <c r="AF40" s="502"/>
      <c r="AG40" s="502"/>
      <c r="AH40" s="503"/>
      <c r="AI40" s="143"/>
    </row>
    <row r="41" spans="1:41" ht="15" customHeight="1">
      <c r="A41" s="528"/>
      <c r="B41" s="529"/>
      <c r="C41" s="529"/>
      <c r="D41" s="529"/>
      <c r="E41" s="529"/>
      <c r="F41" s="529"/>
      <c r="G41" s="530"/>
      <c r="H41" s="631"/>
      <c r="I41" s="472"/>
      <c r="J41" s="472"/>
      <c r="K41" s="472"/>
      <c r="L41" s="472"/>
      <c r="M41" s="632"/>
      <c r="N41" s="631"/>
      <c r="O41" s="472"/>
      <c r="P41" s="472"/>
      <c r="Q41" s="472"/>
      <c r="R41" s="472"/>
      <c r="S41" s="632"/>
      <c r="T41" s="631"/>
      <c r="U41" s="472"/>
      <c r="V41" s="472"/>
      <c r="W41" s="472"/>
      <c r="X41" s="472"/>
      <c r="Y41" s="632"/>
      <c r="Z41" s="1098"/>
      <c r="AA41" s="1099"/>
      <c r="AB41" s="1099"/>
      <c r="AC41" s="1099"/>
      <c r="AD41" s="1099"/>
      <c r="AE41" s="1099"/>
      <c r="AF41" s="1099"/>
      <c r="AG41" s="1099"/>
      <c r="AH41" s="1100"/>
      <c r="AI41" s="143"/>
    </row>
    <row r="42" spans="1:41" ht="15" customHeight="1" thickBot="1">
      <c r="A42" s="455"/>
      <c r="B42" s="456"/>
      <c r="C42" s="456"/>
      <c r="D42" s="456"/>
      <c r="E42" s="456"/>
      <c r="F42" s="456"/>
      <c r="G42" s="457"/>
      <c r="H42" s="594"/>
      <c r="I42" s="595"/>
      <c r="J42" s="595"/>
      <c r="K42" s="595"/>
      <c r="L42" s="595"/>
      <c r="M42" s="669"/>
      <c r="N42" s="594"/>
      <c r="O42" s="595"/>
      <c r="P42" s="595"/>
      <c r="Q42" s="595"/>
      <c r="R42" s="595"/>
      <c r="S42" s="669"/>
      <c r="T42" s="594"/>
      <c r="U42" s="595"/>
      <c r="V42" s="595"/>
      <c r="W42" s="595"/>
      <c r="X42" s="595"/>
      <c r="Y42" s="669"/>
      <c r="Z42" s="507"/>
      <c r="AA42" s="508"/>
      <c r="AB42" s="508"/>
      <c r="AC42" s="508"/>
      <c r="AD42" s="508"/>
      <c r="AE42" s="508"/>
      <c r="AF42" s="508"/>
      <c r="AG42" s="508"/>
      <c r="AH42" s="509"/>
      <c r="AI42" s="143"/>
    </row>
    <row r="43" spans="1:41" ht="12.75" thickBot="1">
      <c r="A43" s="143"/>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row>
    <row r="44" spans="1:41" ht="15" thickBot="1">
      <c r="A44" s="166" t="s">
        <v>369</v>
      </c>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510" t="s">
        <v>56</v>
      </c>
      <c r="AA44" s="511"/>
      <c r="AB44" s="511"/>
      <c r="AC44" s="511"/>
      <c r="AD44" s="511"/>
      <c r="AE44" s="511"/>
      <c r="AF44" s="511"/>
      <c r="AG44" s="511"/>
      <c r="AH44" s="512"/>
      <c r="AI44" s="143"/>
    </row>
    <row r="45" spans="1:41" ht="13.5" customHeight="1">
      <c r="A45" s="724" t="s">
        <v>59</v>
      </c>
      <c r="B45" s="634"/>
      <c r="C45" s="634"/>
      <c r="D45" s="634"/>
      <c r="E45" s="634"/>
      <c r="F45" s="634"/>
      <c r="G45" s="635"/>
      <c r="H45" s="676" t="s">
        <v>50</v>
      </c>
      <c r="I45" s="634"/>
      <c r="J45" s="634"/>
      <c r="K45" s="634"/>
      <c r="L45" s="634"/>
      <c r="M45" s="635"/>
      <c r="N45" s="676" t="s">
        <v>52</v>
      </c>
      <c r="O45" s="634"/>
      <c r="P45" s="634"/>
      <c r="Q45" s="634"/>
      <c r="R45" s="634"/>
      <c r="S45" s="635"/>
      <c r="T45" s="634" t="s">
        <v>54</v>
      </c>
      <c r="U45" s="634"/>
      <c r="V45" s="634"/>
      <c r="W45" s="634"/>
      <c r="X45" s="634"/>
      <c r="Y45" s="677"/>
      <c r="Z45" s="516" t="s">
        <v>230</v>
      </c>
      <c r="AA45" s="517"/>
      <c r="AB45" s="517"/>
      <c r="AC45" s="517"/>
      <c r="AD45" s="517"/>
      <c r="AE45" s="517"/>
      <c r="AF45" s="517"/>
      <c r="AG45" s="517"/>
      <c r="AH45" s="518"/>
      <c r="AI45" s="143"/>
      <c r="AK45" s="201"/>
    </row>
    <row r="46" spans="1:41" ht="14.25" customHeight="1" thickBot="1">
      <c r="A46" s="725"/>
      <c r="B46" s="679"/>
      <c r="C46" s="679"/>
      <c r="D46" s="679"/>
      <c r="E46" s="679"/>
      <c r="F46" s="679"/>
      <c r="G46" s="680"/>
      <c r="H46" s="678" t="s">
        <v>228</v>
      </c>
      <c r="I46" s="679"/>
      <c r="J46" s="679"/>
      <c r="K46" s="679"/>
      <c r="L46" s="679"/>
      <c r="M46" s="680"/>
      <c r="N46" s="678" t="s">
        <v>227</v>
      </c>
      <c r="O46" s="679"/>
      <c r="P46" s="679"/>
      <c r="Q46" s="679"/>
      <c r="R46" s="679"/>
      <c r="S46" s="680"/>
      <c r="T46" s="679" t="s">
        <v>226</v>
      </c>
      <c r="U46" s="679"/>
      <c r="V46" s="679"/>
      <c r="W46" s="679"/>
      <c r="X46" s="679"/>
      <c r="Y46" s="681"/>
      <c r="Z46" s="519"/>
      <c r="AA46" s="520"/>
      <c r="AB46" s="520"/>
      <c r="AC46" s="520"/>
      <c r="AD46" s="520"/>
      <c r="AE46" s="520"/>
      <c r="AF46" s="520"/>
      <c r="AG46" s="520"/>
      <c r="AH46" s="521"/>
      <c r="AI46" s="143"/>
    </row>
    <row r="47" spans="1:41" ht="15" customHeight="1" thickTop="1" thickBot="1">
      <c r="A47" s="525"/>
      <c r="B47" s="526"/>
      <c r="C47" s="526"/>
      <c r="D47" s="526"/>
      <c r="E47" s="526"/>
      <c r="F47" s="526"/>
      <c r="G47" s="527"/>
      <c r="H47" s="522" t="s">
        <v>320</v>
      </c>
      <c r="I47" s="523"/>
      <c r="J47" s="523"/>
      <c r="K47" s="523"/>
      <c r="L47" s="523"/>
      <c r="M47" s="524"/>
      <c r="N47" s="522" t="s">
        <v>320</v>
      </c>
      <c r="O47" s="523"/>
      <c r="P47" s="523"/>
      <c r="Q47" s="523"/>
      <c r="R47" s="523"/>
      <c r="S47" s="524"/>
      <c r="T47" s="531" t="s">
        <v>320</v>
      </c>
      <c r="U47" s="531"/>
      <c r="V47" s="531"/>
      <c r="W47" s="531"/>
      <c r="X47" s="531"/>
      <c r="Y47" s="532"/>
      <c r="Z47" s="513" t="s">
        <v>321</v>
      </c>
      <c r="AA47" s="514"/>
      <c r="AB47" s="514"/>
      <c r="AC47" s="514"/>
      <c r="AD47" s="514"/>
      <c r="AE47" s="514"/>
      <c r="AF47" s="514"/>
      <c r="AG47" s="514"/>
      <c r="AH47" s="515"/>
      <c r="AI47" s="143"/>
    </row>
    <row r="48" spans="1:41" ht="15" customHeight="1" thickBot="1">
      <c r="A48" s="528"/>
      <c r="B48" s="529"/>
      <c r="C48" s="529"/>
      <c r="D48" s="529"/>
      <c r="E48" s="529"/>
      <c r="F48" s="529"/>
      <c r="G48" s="530"/>
      <c r="H48" s="1085"/>
      <c r="I48" s="1086"/>
      <c r="J48" s="1083" t="s">
        <v>6</v>
      </c>
      <c r="K48" s="1083"/>
      <c r="L48" s="1083"/>
      <c r="M48" s="1084"/>
      <c r="N48" s="1085"/>
      <c r="O48" s="1086"/>
      <c r="P48" s="1083" t="s">
        <v>6</v>
      </c>
      <c r="Q48" s="1083"/>
      <c r="R48" s="1083"/>
      <c r="S48" s="1084"/>
      <c r="T48" s="559"/>
      <c r="U48" s="560"/>
      <c r="V48" s="1094" t="s">
        <v>6</v>
      </c>
      <c r="W48" s="1094"/>
      <c r="X48" s="1094"/>
      <c r="Y48" s="1095"/>
      <c r="Z48" s="659"/>
      <c r="AA48" s="660"/>
      <c r="AB48" s="660"/>
      <c r="AC48" s="1096" t="s">
        <v>6</v>
      </c>
      <c r="AD48" s="1096"/>
      <c r="AE48" s="1096"/>
      <c r="AF48" s="1096"/>
      <c r="AG48" s="1096"/>
      <c r="AH48" s="1097"/>
      <c r="AI48" s="143"/>
      <c r="AK48" s="200" t="b">
        <v>0</v>
      </c>
      <c r="AL48" s="200" t="b">
        <v>0</v>
      </c>
      <c r="AM48" s="200" t="b">
        <v>0</v>
      </c>
      <c r="AO48" s="200" t="b">
        <v>0</v>
      </c>
    </row>
    <row r="49" spans="1:41" ht="14.25" customHeight="1" thickBot="1">
      <c r="A49" s="452"/>
      <c r="B49" s="453"/>
      <c r="C49" s="453"/>
      <c r="D49" s="453"/>
      <c r="E49" s="453"/>
      <c r="F49" s="453"/>
      <c r="G49" s="454"/>
      <c r="H49" s="458" t="s">
        <v>320</v>
      </c>
      <c r="I49" s="459"/>
      <c r="J49" s="459"/>
      <c r="K49" s="459"/>
      <c r="L49" s="459"/>
      <c r="M49" s="460"/>
      <c r="N49" s="458" t="s">
        <v>320</v>
      </c>
      <c r="O49" s="459"/>
      <c r="P49" s="459"/>
      <c r="Q49" s="459"/>
      <c r="R49" s="459"/>
      <c r="S49" s="460"/>
      <c r="T49" s="474" t="s">
        <v>320</v>
      </c>
      <c r="U49" s="474"/>
      <c r="V49" s="474"/>
      <c r="W49" s="474"/>
      <c r="X49" s="474"/>
      <c r="Y49" s="475"/>
      <c r="Z49" s="480" t="s">
        <v>322</v>
      </c>
      <c r="AA49" s="481"/>
      <c r="AB49" s="481"/>
      <c r="AC49" s="481"/>
      <c r="AD49" s="481"/>
      <c r="AE49" s="481"/>
      <c r="AF49" s="481"/>
      <c r="AG49" s="481"/>
      <c r="AH49" s="482"/>
      <c r="AI49" s="143"/>
    </row>
    <row r="50" spans="1:41" ht="13.5" customHeight="1" thickBot="1">
      <c r="A50" s="533"/>
      <c r="B50" s="534"/>
      <c r="C50" s="534"/>
      <c r="D50" s="534"/>
      <c r="E50" s="534"/>
      <c r="F50" s="534"/>
      <c r="G50" s="535"/>
      <c r="H50" s="1085"/>
      <c r="I50" s="1086"/>
      <c r="J50" s="1083" t="s">
        <v>233</v>
      </c>
      <c r="K50" s="1083"/>
      <c r="L50" s="1083"/>
      <c r="M50" s="1084"/>
      <c r="N50" s="1085"/>
      <c r="O50" s="1086"/>
      <c r="P50" s="1083" t="s">
        <v>6</v>
      </c>
      <c r="Q50" s="1083"/>
      <c r="R50" s="1083"/>
      <c r="S50" s="1084"/>
      <c r="T50" s="559"/>
      <c r="U50" s="560"/>
      <c r="V50" s="1094" t="s">
        <v>6</v>
      </c>
      <c r="W50" s="1094"/>
      <c r="X50" s="1094"/>
      <c r="Y50" s="1095"/>
      <c r="Z50" s="659"/>
      <c r="AA50" s="660"/>
      <c r="AB50" s="660"/>
      <c r="AC50" s="1096" t="s">
        <v>233</v>
      </c>
      <c r="AD50" s="1096"/>
      <c r="AE50" s="1096"/>
      <c r="AF50" s="1096"/>
      <c r="AG50" s="1096"/>
      <c r="AH50" s="1097"/>
      <c r="AI50" s="143"/>
      <c r="AK50" s="200" t="b">
        <v>0</v>
      </c>
      <c r="AL50" s="200" t="b">
        <v>0</v>
      </c>
      <c r="AM50" s="200" t="b">
        <v>0</v>
      </c>
      <c r="AO50" s="200" t="b">
        <v>0</v>
      </c>
    </row>
    <row r="51" spans="1:41" ht="15" customHeight="1" thickBot="1">
      <c r="A51" s="528"/>
      <c r="B51" s="529"/>
      <c r="C51" s="529"/>
      <c r="D51" s="529"/>
      <c r="E51" s="529"/>
      <c r="F51" s="529"/>
      <c r="G51" s="530"/>
      <c r="H51" s="489" t="s">
        <v>320</v>
      </c>
      <c r="I51" s="490"/>
      <c r="J51" s="490"/>
      <c r="K51" s="490"/>
      <c r="L51" s="490"/>
      <c r="M51" s="491"/>
      <c r="N51" s="489" t="s">
        <v>320</v>
      </c>
      <c r="O51" s="490"/>
      <c r="P51" s="490"/>
      <c r="Q51" s="490"/>
      <c r="R51" s="490"/>
      <c r="S51" s="491"/>
      <c r="T51" s="472" t="s">
        <v>320</v>
      </c>
      <c r="U51" s="472"/>
      <c r="V51" s="472"/>
      <c r="W51" s="472"/>
      <c r="X51" s="472"/>
      <c r="Y51" s="473"/>
      <c r="Z51" s="498" t="s">
        <v>321</v>
      </c>
      <c r="AA51" s="499"/>
      <c r="AB51" s="499"/>
      <c r="AC51" s="499"/>
      <c r="AD51" s="499"/>
      <c r="AE51" s="499"/>
      <c r="AF51" s="499"/>
      <c r="AG51" s="499"/>
      <c r="AH51" s="500"/>
      <c r="AI51" s="143"/>
    </row>
    <row r="52" spans="1:41" ht="13.5" customHeight="1" thickBot="1">
      <c r="A52" s="528"/>
      <c r="B52" s="529"/>
      <c r="C52" s="529"/>
      <c r="D52" s="529"/>
      <c r="E52" s="529"/>
      <c r="F52" s="529"/>
      <c r="G52" s="530"/>
      <c r="H52" s="1085"/>
      <c r="I52" s="1086"/>
      <c r="J52" s="1083" t="s">
        <v>6</v>
      </c>
      <c r="K52" s="1083"/>
      <c r="L52" s="1083"/>
      <c r="M52" s="1084"/>
      <c r="N52" s="1085"/>
      <c r="O52" s="1086"/>
      <c r="P52" s="1083" t="s">
        <v>6</v>
      </c>
      <c r="Q52" s="1083"/>
      <c r="R52" s="1083"/>
      <c r="S52" s="1084"/>
      <c r="T52" s="559"/>
      <c r="U52" s="560"/>
      <c r="V52" s="1094" t="s">
        <v>233</v>
      </c>
      <c r="W52" s="1094"/>
      <c r="X52" s="1094"/>
      <c r="Y52" s="1095"/>
      <c r="Z52" s="659"/>
      <c r="AA52" s="660"/>
      <c r="AB52" s="660"/>
      <c r="AC52" s="1096" t="s">
        <v>233</v>
      </c>
      <c r="AD52" s="1096"/>
      <c r="AE52" s="1096"/>
      <c r="AF52" s="1096"/>
      <c r="AG52" s="1096"/>
      <c r="AH52" s="1097"/>
      <c r="AI52" s="143"/>
      <c r="AK52" s="200" t="b">
        <v>0</v>
      </c>
      <c r="AL52" s="200" t="b">
        <v>0</v>
      </c>
      <c r="AM52" s="200" t="b">
        <v>0</v>
      </c>
      <c r="AO52" s="200" t="b">
        <v>0</v>
      </c>
    </row>
    <row r="53" spans="1:41" ht="12.75" thickBot="1">
      <c r="A53" s="452"/>
      <c r="B53" s="453"/>
      <c r="C53" s="453"/>
      <c r="D53" s="453"/>
      <c r="E53" s="453"/>
      <c r="F53" s="453"/>
      <c r="G53" s="454"/>
      <c r="H53" s="458" t="s">
        <v>320</v>
      </c>
      <c r="I53" s="459"/>
      <c r="J53" s="459"/>
      <c r="K53" s="459"/>
      <c r="L53" s="459"/>
      <c r="M53" s="460"/>
      <c r="N53" s="458" t="s">
        <v>320</v>
      </c>
      <c r="O53" s="459"/>
      <c r="P53" s="459"/>
      <c r="Q53" s="459"/>
      <c r="R53" s="459"/>
      <c r="S53" s="460"/>
      <c r="T53" s="474" t="s">
        <v>320</v>
      </c>
      <c r="U53" s="474"/>
      <c r="V53" s="474"/>
      <c r="W53" s="474"/>
      <c r="X53" s="474"/>
      <c r="Y53" s="475"/>
      <c r="Z53" s="480" t="s">
        <v>321</v>
      </c>
      <c r="AA53" s="481"/>
      <c r="AB53" s="481"/>
      <c r="AC53" s="481"/>
      <c r="AD53" s="481"/>
      <c r="AE53" s="481"/>
      <c r="AF53" s="481"/>
      <c r="AG53" s="481"/>
      <c r="AH53" s="482"/>
      <c r="AI53" s="143"/>
    </row>
    <row r="54" spans="1:41" ht="15" customHeight="1" thickBot="1">
      <c r="A54" s="455"/>
      <c r="B54" s="456"/>
      <c r="C54" s="456"/>
      <c r="D54" s="456"/>
      <c r="E54" s="456"/>
      <c r="F54" s="456"/>
      <c r="G54" s="457"/>
      <c r="H54" s="1078"/>
      <c r="I54" s="1079"/>
      <c r="J54" s="1080" t="s">
        <v>6</v>
      </c>
      <c r="K54" s="1080"/>
      <c r="L54" s="1080"/>
      <c r="M54" s="1081"/>
      <c r="N54" s="1078"/>
      <c r="O54" s="1079"/>
      <c r="P54" s="1080" t="s">
        <v>6</v>
      </c>
      <c r="Q54" s="1080"/>
      <c r="R54" s="1080"/>
      <c r="S54" s="1081"/>
      <c r="T54" s="594"/>
      <c r="U54" s="595"/>
      <c r="V54" s="1090" t="s">
        <v>6</v>
      </c>
      <c r="W54" s="1090"/>
      <c r="X54" s="1090"/>
      <c r="Y54" s="1091"/>
      <c r="Z54" s="507"/>
      <c r="AA54" s="508"/>
      <c r="AB54" s="508"/>
      <c r="AC54" s="1092" t="s">
        <v>6</v>
      </c>
      <c r="AD54" s="1092"/>
      <c r="AE54" s="1092"/>
      <c r="AF54" s="1092"/>
      <c r="AG54" s="1092"/>
      <c r="AH54" s="1093"/>
      <c r="AI54" s="143"/>
      <c r="AK54" s="200" t="b">
        <v>0</v>
      </c>
      <c r="AL54" s="200" t="b">
        <v>0</v>
      </c>
      <c r="AM54" s="200" t="b">
        <v>0</v>
      </c>
      <c r="AO54" s="200" t="b">
        <v>0</v>
      </c>
    </row>
    <row r="55" spans="1:41">
      <c r="A55" s="582"/>
      <c r="B55" s="582"/>
      <c r="C55" s="582"/>
      <c r="D55" s="582"/>
      <c r="E55" s="582"/>
      <c r="F55" s="582"/>
      <c r="G55" s="582"/>
      <c r="H55" s="582"/>
      <c r="I55" s="582"/>
      <c r="J55" s="582"/>
      <c r="K55" s="582"/>
      <c r="L55" s="582"/>
      <c r="M55" s="582"/>
      <c r="N55" s="582"/>
      <c r="O55" s="582"/>
      <c r="P55" s="582"/>
      <c r="Q55" s="582"/>
      <c r="R55" s="582"/>
      <c r="S55" s="582"/>
      <c r="T55" s="582"/>
      <c r="U55" s="582"/>
      <c r="V55" s="582"/>
      <c r="W55" s="582"/>
      <c r="X55" s="582"/>
      <c r="Y55" s="582"/>
      <c r="Z55" s="582"/>
      <c r="AA55" s="582"/>
      <c r="AB55" s="582"/>
      <c r="AC55" s="582"/>
      <c r="AD55" s="582"/>
      <c r="AE55" s="582"/>
      <c r="AF55" s="582"/>
      <c r="AG55" s="582"/>
      <c r="AH55" s="582"/>
      <c r="AI55" s="143"/>
    </row>
    <row r="56" spans="1:41" ht="16.5" customHeight="1">
      <c r="A56" s="462" t="str">
        <f>IF(OR('内訳書 (変更）'!O2="○",'内訳書 (変更）'!O2="◎"),"　上記のとおり使用の変更を承認する。なお、使用にあたっては裏面使用条件を遵守すること。","")</f>
        <v/>
      </c>
      <c r="B56" s="462"/>
      <c r="C56" s="462"/>
      <c r="D56" s="462"/>
      <c r="E56" s="462"/>
      <c r="F56" s="462"/>
      <c r="G56" s="462"/>
      <c r="H56" s="462"/>
      <c r="I56" s="462"/>
      <c r="J56" s="462"/>
      <c r="K56" s="462"/>
      <c r="L56" s="462"/>
      <c r="M56" s="462"/>
      <c r="N56" s="462"/>
      <c r="O56" s="462"/>
      <c r="P56" s="462"/>
      <c r="Q56" s="462"/>
      <c r="R56" s="462"/>
      <c r="S56" s="462"/>
      <c r="T56" s="462"/>
      <c r="U56" s="462"/>
      <c r="V56" s="462"/>
      <c r="W56" s="462"/>
      <c r="X56" s="462"/>
      <c r="Y56" s="462"/>
      <c r="Z56" s="462"/>
      <c r="AA56" s="462"/>
      <c r="AB56" s="462"/>
      <c r="AC56" s="462"/>
      <c r="AD56" s="462"/>
      <c r="AE56" s="462"/>
      <c r="AF56" s="462"/>
      <c r="AG56" s="462"/>
      <c r="AH56" s="462"/>
      <c r="AI56" s="143"/>
    </row>
    <row r="57" spans="1:41">
      <c r="A57" s="190"/>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43"/>
    </row>
    <row r="58" spans="1:41">
      <c r="A58" s="190"/>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43"/>
    </row>
    <row r="59" spans="1:41" ht="13.5" customHeight="1" thickBot="1">
      <c r="A59" s="1082" t="str">
        <f ca="1">IF('内訳書 (変更）'!O2="○","令和 　 年　  月　　日",IF('内訳書 (変更）'!O2="◎",TODAY(),""))</f>
        <v/>
      </c>
      <c r="B59" s="1082"/>
      <c r="C59" s="1082"/>
      <c r="D59" s="1082"/>
      <c r="E59" s="1082"/>
      <c r="F59" s="1082"/>
      <c r="G59" s="1082"/>
      <c r="H59" s="1082"/>
      <c r="I59" s="1082"/>
      <c r="J59" s="192"/>
      <c r="K59" s="192"/>
      <c r="L59" s="462" t="str">
        <f>IF(OR('内訳書 (変更）'!O2="○",'内訳書 (変更）'!O2="◎"),"　東北大学百周年記念会館館長","")</f>
        <v/>
      </c>
      <c r="M59" s="462"/>
      <c r="N59" s="462"/>
      <c r="O59" s="462"/>
      <c r="P59" s="462"/>
      <c r="Q59" s="462"/>
      <c r="R59" s="462"/>
      <c r="S59" s="462"/>
      <c r="T59" s="462"/>
      <c r="U59" s="462"/>
      <c r="V59" s="462"/>
      <c r="W59" s="462"/>
      <c r="X59" s="462"/>
      <c r="Y59" s="462"/>
      <c r="Z59" s="462"/>
      <c r="AA59" s="462"/>
      <c r="AB59" s="462"/>
      <c r="AC59" s="462"/>
      <c r="AD59" s="462"/>
      <c r="AE59" s="462"/>
      <c r="AF59" s="462"/>
      <c r="AG59" s="462"/>
      <c r="AH59" s="462"/>
      <c r="AI59" s="143"/>
    </row>
    <row r="60" spans="1:41" ht="15" thickBot="1">
      <c r="A60" s="656" t="s">
        <v>276</v>
      </c>
      <c r="B60" s="657"/>
      <c r="C60" s="657"/>
      <c r="D60" s="657"/>
      <c r="E60" s="657"/>
      <c r="F60" s="657"/>
      <c r="G60" s="657"/>
      <c r="H60" s="657"/>
      <c r="I60" s="657"/>
      <c r="J60" s="657"/>
      <c r="K60" s="657"/>
      <c r="L60" s="657"/>
      <c r="M60" s="657"/>
      <c r="N60" s="657"/>
      <c r="O60" s="657"/>
      <c r="P60" s="657"/>
      <c r="Q60" s="657"/>
      <c r="R60" s="657"/>
      <c r="S60" s="657"/>
      <c r="T60" s="657"/>
      <c r="U60" s="657"/>
      <c r="V60" s="657"/>
      <c r="W60" s="657"/>
      <c r="X60" s="657"/>
      <c r="Y60" s="657"/>
      <c r="Z60" s="657"/>
      <c r="AA60" s="657"/>
      <c r="AB60" s="657"/>
      <c r="AC60" s="657"/>
      <c r="AD60" s="657"/>
      <c r="AE60" s="657"/>
      <c r="AF60" s="657"/>
      <c r="AG60" s="657"/>
      <c r="AH60" s="658"/>
      <c r="AI60" s="143"/>
    </row>
    <row r="61" spans="1:41" s="202" customFormat="1" ht="12" customHeight="1" thickTop="1">
      <c r="A61" s="151">
        <v>1</v>
      </c>
      <c r="B61" s="1165" t="s">
        <v>191</v>
      </c>
      <c r="C61" s="1165"/>
      <c r="D61" s="1165"/>
      <c r="E61" s="1165"/>
      <c r="F61" s="1165"/>
      <c r="G61" s="1165"/>
      <c r="H61" s="1165"/>
      <c r="I61" s="1165"/>
      <c r="J61" s="1165"/>
      <c r="K61" s="1165"/>
      <c r="L61" s="1165"/>
      <c r="M61" s="1165"/>
      <c r="N61" s="1165"/>
      <c r="O61" s="1165"/>
      <c r="P61" s="1165"/>
      <c r="Q61" s="1165"/>
      <c r="R61" s="1165"/>
      <c r="S61" s="1165"/>
      <c r="T61" s="1165"/>
      <c r="U61" s="1165"/>
      <c r="V61" s="1165"/>
      <c r="W61" s="1165"/>
      <c r="X61" s="1165"/>
      <c r="Y61" s="1165"/>
      <c r="Z61" s="1165"/>
      <c r="AA61" s="1165"/>
      <c r="AB61" s="1165"/>
      <c r="AC61" s="1165"/>
      <c r="AD61" s="1165"/>
      <c r="AE61" s="1165"/>
      <c r="AF61" s="1165"/>
      <c r="AG61" s="1165"/>
      <c r="AH61" s="1166"/>
      <c r="AI61" s="357"/>
      <c r="AJ61" s="152"/>
    </row>
    <row r="62" spans="1:41" s="202" customFormat="1" ht="11.25">
      <c r="A62" s="151"/>
      <c r="B62" s="450"/>
      <c r="C62" s="450"/>
      <c r="D62" s="450"/>
      <c r="E62" s="450"/>
      <c r="F62" s="450"/>
      <c r="G62" s="450"/>
      <c r="H62" s="450"/>
      <c r="I62" s="450"/>
      <c r="J62" s="450"/>
      <c r="K62" s="450"/>
      <c r="L62" s="450"/>
      <c r="M62" s="450"/>
      <c r="N62" s="450"/>
      <c r="O62" s="450"/>
      <c r="P62" s="450"/>
      <c r="Q62" s="450"/>
      <c r="R62" s="450"/>
      <c r="S62" s="450"/>
      <c r="T62" s="450"/>
      <c r="U62" s="450"/>
      <c r="V62" s="450"/>
      <c r="W62" s="450"/>
      <c r="X62" s="450"/>
      <c r="Y62" s="450"/>
      <c r="Z62" s="450"/>
      <c r="AA62" s="450"/>
      <c r="AB62" s="450"/>
      <c r="AC62" s="450"/>
      <c r="AD62" s="450"/>
      <c r="AE62" s="450"/>
      <c r="AF62" s="450"/>
      <c r="AG62" s="450"/>
      <c r="AH62" s="451"/>
      <c r="AI62" s="357"/>
      <c r="AJ62" s="152"/>
    </row>
    <row r="63" spans="1:41" s="202" customFormat="1" ht="11.25" customHeight="1">
      <c r="A63" s="151">
        <v>2</v>
      </c>
      <c r="B63" s="450" t="s">
        <v>341</v>
      </c>
      <c r="C63" s="450"/>
      <c r="D63" s="450"/>
      <c r="E63" s="450"/>
      <c r="F63" s="450"/>
      <c r="G63" s="450"/>
      <c r="H63" s="450"/>
      <c r="I63" s="450"/>
      <c r="J63" s="450"/>
      <c r="K63" s="450"/>
      <c r="L63" s="450"/>
      <c r="M63" s="450"/>
      <c r="N63" s="450"/>
      <c r="O63" s="450"/>
      <c r="P63" s="450"/>
      <c r="Q63" s="450"/>
      <c r="R63" s="450"/>
      <c r="S63" s="450"/>
      <c r="T63" s="450"/>
      <c r="U63" s="450"/>
      <c r="V63" s="450"/>
      <c r="W63" s="450"/>
      <c r="X63" s="450"/>
      <c r="Y63" s="450"/>
      <c r="Z63" s="450"/>
      <c r="AA63" s="450"/>
      <c r="AB63" s="450"/>
      <c r="AC63" s="450"/>
      <c r="AD63" s="450"/>
      <c r="AE63" s="450"/>
      <c r="AF63" s="450"/>
      <c r="AG63" s="450"/>
      <c r="AH63" s="451"/>
      <c r="AI63" s="357"/>
      <c r="AJ63" s="152"/>
    </row>
    <row r="64" spans="1:41" s="202" customFormat="1" ht="11.25" customHeight="1">
      <c r="A64" s="151">
        <v>3</v>
      </c>
      <c r="B64" s="450" t="s">
        <v>2</v>
      </c>
      <c r="C64" s="450"/>
      <c r="D64" s="450"/>
      <c r="E64" s="450"/>
      <c r="F64" s="450"/>
      <c r="G64" s="450"/>
      <c r="H64" s="450"/>
      <c r="I64" s="450"/>
      <c r="J64" s="450"/>
      <c r="K64" s="450"/>
      <c r="L64" s="450"/>
      <c r="M64" s="450"/>
      <c r="N64" s="450"/>
      <c r="O64" s="450"/>
      <c r="P64" s="450"/>
      <c r="Q64" s="450"/>
      <c r="R64" s="450"/>
      <c r="S64" s="450"/>
      <c r="T64" s="450"/>
      <c r="U64" s="450"/>
      <c r="V64" s="450"/>
      <c r="W64" s="450"/>
      <c r="X64" s="450"/>
      <c r="Y64" s="450"/>
      <c r="Z64" s="450"/>
      <c r="AA64" s="450"/>
      <c r="AB64" s="450"/>
      <c r="AC64" s="450"/>
      <c r="AD64" s="450"/>
      <c r="AE64" s="450"/>
      <c r="AF64" s="450"/>
      <c r="AG64" s="450"/>
      <c r="AH64" s="451"/>
      <c r="AI64" s="357"/>
      <c r="AJ64" s="152"/>
    </row>
    <row r="65" spans="1:36" s="202" customFormat="1" ht="11.25" customHeight="1">
      <c r="A65" s="151">
        <v>4</v>
      </c>
      <c r="B65" s="450" t="s">
        <v>277</v>
      </c>
      <c r="C65" s="450"/>
      <c r="D65" s="450"/>
      <c r="E65" s="450"/>
      <c r="F65" s="450"/>
      <c r="G65" s="450"/>
      <c r="H65" s="450"/>
      <c r="I65" s="450"/>
      <c r="J65" s="450"/>
      <c r="K65" s="450"/>
      <c r="L65" s="450"/>
      <c r="M65" s="450"/>
      <c r="N65" s="450"/>
      <c r="O65" s="450"/>
      <c r="P65" s="450"/>
      <c r="Q65" s="450"/>
      <c r="R65" s="450"/>
      <c r="S65" s="450"/>
      <c r="T65" s="450"/>
      <c r="U65" s="450"/>
      <c r="V65" s="450"/>
      <c r="W65" s="450"/>
      <c r="X65" s="450"/>
      <c r="Y65" s="450"/>
      <c r="Z65" s="450"/>
      <c r="AA65" s="450"/>
      <c r="AB65" s="450"/>
      <c r="AC65" s="450"/>
      <c r="AD65" s="450"/>
      <c r="AE65" s="450"/>
      <c r="AF65" s="450"/>
      <c r="AG65" s="450"/>
      <c r="AH65" s="451"/>
      <c r="AI65" s="357"/>
      <c r="AJ65" s="152"/>
    </row>
    <row r="66" spans="1:36" s="202" customFormat="1" ht="11.25" customHeight="1">
      <c r="A66" s="151"/>
      <c r="B66" s="450"/>
      <c r="C66" s="450"/>
      <c r="D66" s="450"/>
      <c r="E66" s="450"/>
      <c r="F66" s="450"/>
      <c r="G66" s="450"/>
      <c r="H66" s="450"/>
      <c r="I66" s="450"/>
      <c r="J66" s="450"/>
      <c r="K66" s="450"/>
      <c r="L66" s="450"/>
      <c r="M66" s="450"/>
      <c r="N66" s="450"/>
      <c r="O66" s="450"/>
      <c r="P66" s="450"/>
      <c r="Q66" s="450"/>
      <c r="R66" s="450"/>
      <c r="S66" s="450"/>
      <c r="T66" s="450"/>
      <c r="U66" s="450"/>
      <c r="V66" s="450"/>
      <c r="W66" s="450"/>
      <c r="X66" s="450"/>
      <c r="Y66" s="450"/>
      <c r="Z66" s="450"/>
      <c r="AA66" s="450"/>
      <c r="AB66" s="450"/>
      <c r="AC66" s="450"/>
      <c r="AD66" s="450"/>
      <c r="AE66" s="450"/>
      <c r="AF66" s="450"/>
      <c r="AG66" s="450"/>
      <c r="AH66" s="451"/>
      <c r="AI66" s="357"/>
      <c r="AJ66" s="152"/>
    </row>
    <row r="67" spans="1:36" s="202" customFormat="1" ht="11.25" customHeight="1">
      <c r="A67" s="151">
        <v>5</v>
      </c>
      <c r="B67" s="450" t="s">
        <v>3</v>
      </c>
      <c r="C67" s="450"/>
      <c r="D67" s="450"/>
      <c r="E67" s="450"/>
      <c r="F67" s="450"/>
      <c r="G67" s="450"/>
      <c r="H67" s="450"/>
      <c r="I67" s="450"/>
      <c r="J67" s="450"/>
      <c r="K67" s="450"/>
      <c r="L67" s="450"/>
      <c r="M67" s="450"/>
      <c r="N67" s="450"/>
      <c r="O67" s="450"/>
      <c r="P67" s="450"/>
      <c r="Q67" s="450"/>
      <c r="R67" s="450"/>
      <c r="S67" s="450"/>
      <c r="T67" s="450"/>
      <c r="U67" s="450"/>
      <c r="V67" s="450"/>
      <c r="W67" s="450"/>
      <c r="X67" s="450"/>
      <c r="Y67" s="450"/>
      <c r="Z67" s="450"/>
      <c r="AA67" s="450"/>
      <c r="AB67" s="450"/>
      <c r="AC67" s="450"/>
      <c r="AD67" s="450"/>
      <c r="AE67" s="450"/>
      <c r="AF67" s="450"/>
      <c r="AG67" s="450"/>
      <c r="AH67" s="451"/>
      <c r="AI67" s="357"/>
      <c r="AJ67" s="152"/>
    </row>
    <row r="68" spans="1:36" s="202" customFormat="1" ht="11.25">
      <c r="A68" s="151"/>
      <c r="B68" s="450"/>
      <c r="C68" s="450"/>
      <c r="D68" s="450"/>
      <c r="E68" s="450"/>
      <c r="F68" s="450"/>
      <c r="G68" s="450"/>
      <c r="H68" s="450"/>
      <c r="I68" s="450"/>
      <c r="J68" s="450"/>
      <c r="K68" s="450"/>
      <c r="L68" s="450"/>
      <c r="M68" s="450"/>
      <c r="N68" s="450"/>
      <c r="O68" s="450"/>
      <c r="P68" s="450"/>
      <c r="Q68" s="450"/>
      <c r="R68" s="450"/>
      <c r="S68" s="450"/>
      <c r="T68" s="450"/>
      <c r="U68" s="450"/>
      <c r="V68" s="450"/>
      <c r="W68" s="450"/>
      <c r="X68" s="450"/>
      <c r="Y68" s="450"/>
      <c r="Z68" s="450"/>
      <c r="AA68" s="450"/>
      <c r="AB68" s="450"/>
      <c r="AC68" s="450"/>
      <c r="AD68" s="450"/>
      <c r="AE68" s="450"/>
      <c r="AF68" s="450"/>
      <c r="AG68" s="450"/>
      <c r="AH68" s="451"/>
      <c r="AI68" s="357"/>
      <c r="AJ68" s="152"/>
    </row>
    <row r="69" spans="1:36" s="202" customFormat="1" ht="11.25" customHeight="1">
      <c r="A69" s="151">
        <v>6</v>
      </c>
      <c r="B69" s="450" t="s">
        <v>4</v>
      </c>
      <c r="C69" s="450"/>
      <c r="D69" s="450"/>
      <c r="E69" s="450"/>
      <c r="F69" s="450"/>
      <c r="G69" s="450"/>
      <c r="H69" s="450"/>
      <c r="I69" s="450"/>
      <c r="J69" s="450"/>
      <c r="K69" s="450"/>
      <c r="L69" s="450"/>
      <c r="M69" s="450"/>
      <c r="N69" s="450"/>
      <c r="O69" s="450"/>
      <c r="P69" s="450"/>
      <c r="Q69" s="450"/>
      <c r="R69" s="450"/>
      <c r="S69" s="450"/>
      <c r="T69" s="450"/>
      <c r="U69" s="450"/>
      <c r="V69" s="450"/>
      <c r="W69" s="450"/>
      <c r="X69" s="450"/>
      <c r="Y69" s="450"/>
      <c r="Z69" s="450"/>
      <c r="AA69" s="450"/>
      <c r="AB69" s="450"/>
      <c r="AC69" s="450"/>
      <c r="AD69" s="450"/>
      <c r="AE69" s="450"/>
      <c r="AF69" s="450"/>
      <c r="AG69" s="450"/>
      <c r="AH69" s="451"/>
      <c r="AI69" s="357"/>
      <c r="AJ69" s="152"/>
    </row>
    <row r="70" spans="1:36" s="202" customFormat="1" ht="11.25">
      <c r="A70" s="151"/>
      <c r="B70" s="450"/>
      <c r="C70" s="450"/>
      <c r="D70" s="450"/>
      <c r="E70" s="450"/>
      <c r="F70" s="450"/>
      <c r="G70" s="450"/>
      <c r="H70" s="450"/>
      <c r="I70" s="450"/>
      <c r="J70" s="450"/>
      <c r="K70" s="450"/>
      <c r="L70" s="450"/>
      <c r="M70" s="450"/>
      <c r="N70" s="450"/>
      <c r="O70" s="450"/>
      <c r="P70" s="450"/>
      <c r="Q70" s="450"/>
      <c r="R70" s="450"/>
      <c r="S70" s="450"/>
      <c r="T70" s="450"/>
      <c r="U70" s="450"/>
      <c r="V70" s="450"/>
      <c r="W70" s="450"/>
      <c r="X70" s="450"/>
      <c r="Y70" s="450"/>
      <c r="Z70" s="450"/>
      <c r="AA70" s="450"/>
      <c r="AB70" s="450"/>
      <c r="AC70" s="450"/>
      <c r="AD70" s="450"/>
      <c r="AE70" s="450"/>
      <c r="AF70" s="450"/>
      <c r="AG70" s="450"/>
      <c r="AH70" s="451"/>
      <c r="AI70" s="357"/>
      <c r="AJ70" s="152"/>
    </row>
    <row r="71" spans="1:36" s="202" customFormat="1" ht="11.25" customHeight="1">
      <c r="A71" s="151">
        <v>7</v>
      </c>
      <c r="B71" s="450" t="s">
        <v>1</v>
      </c>
      <c r="C71" s="450"/>
      <c r="D71" s="450"/>
      <c r="E71" s="450"/>
      <c r="F71" s="450"/>
      <c r="G71" s="450"/>
      <c r="H71" s="450"/>
      <c r="I71" s="450"/>
      <c r="J71" s="450"/>
      <c r="K71" s="450"/>
      <c r="L71" s="450"/>
      <c r="M71" s="450"/>
      <c r="N71" s="450"/>
      <c r="O71" s="450"/>
      <c r="P71" s="450"/>
      <c r="Q71" s="450"/>
      <c r="R71" s="450"/>
      <c r="S71" s="450"/>
      <c r="T71" s="450"/>
      <c r="U71" s="450"/>
      <c r="V71" s="450"/>
      <c r="W71" s="450"/>
      <c r="X71" s="450"/>
      <c r="Y71" s="450"/>
      <c r="Z71" s="450"/>
      <c r="AA71" s="450"/>
      <c r="AB71" s="450"/>
      <c r="AC71" s="450"/>
      <c r="AD71" s="450"/>
      <c r="AE71" s="450"/>
      <c r="AF71" s="450"/>
      <c r="AG71" s="450"/>
      <c r="AH71" s="451"/>
      <c r="AI71" s="357"/>
      <c r="AJ71" s="152"/>
    </row>
    <row r="72" spans="1:36" s="202" customFormat="1" ht="11.25" customHeight="1">
      <c r="A72" s="151">
        <v>8</v>
      </c>
      <c r="B72" s="450" t="s">
        <v>342</v>
      </c>
      <c r="C72" s="450"/>
      <c r="D72" s="450"/>
      <c r="E72" s="450"/>
      <c r="F72" s="450"/>
      <c r="G72" s="450"/>
      <c r="H72" s="450"/>
      <c r="I72" s="450"/>
      <c r="J72" s="450"/>
      <c r="K72" s="450"/>
      <c r="L72" s="450"/>
      <c r="M72" s="450"/>
      <c r="N72" s="450"/>
      <c r="O72" s="450"/>
      <c r="P72" s="450"/>
      <c r="Q72" s="450"/>
      <c r="R72" s="450"/>
      <c r="S72" s="450"/>
      <c r="T72" s="450"/>
      <c r="U72" s="450"/>
      <c r="V72" s="450"/>
      <c r="W72" s="450"/>
      <c r="X72" s="450"/>
      <c r="Y72" s="450"/>
      <c r="Z72" s="450"/>
      <c r="AA72" s="450"/>
      <c r="AB72" s="450"/>
      <c r="AC72" s="450"/>
      <c r="AD72" s="450"/>
      <c r="AE72" s="450"/>
      <c r="AF72" s="450"/>
      <c r="AG72" s="450"/>
      <c r="AH72" s="451"/>
      <c r="AI72" s="357"/>
      <c r="AJ72" s="152"/>
    </row>
    <row r="73" spans="1:36" s="202" customFormat="1" ht="11.25" customHeight="1">
      <c r="A73" s="151">
        <v>9</v>
      </c>
      <c r="B73" s="450" t="s">
        <v>418</v>
      </c>
      <c r="C73" s="450"/>
      <c r="D73" s="450"/>
      <c r="E73" s="450"/>
      <c r="F73" s="450"/>
      <c r="G73" s="450"/>
      <c r="H73" s="450"/>
      <c r="I73" s="450"/>
      <c r="J73" s="450"/>
      <c r="K73" s="450"/>
      <c r="L73" s="450"/>
      <c r="M73" s="450"/>
      <c r="N73" s="450"/>
      <c r="O73" s="450"/>
      <c r="P73" s="450"/>
      <c r="Q73" s="450"/>
      <c r="R73" s="450"/>
      <c r="S73" s="450"/>
      <c r="T73" s="450"/>
      <c r="U73" s="450"/>
      <c r="V73" s="450"/>
      <c r="W73" s="450"/>
      <c r="X73" s="450"/>
      <c r="Y73" s="450"/>
      <c r="Z73" s="450"/>
      <c r="AA73" s="450"/>
      <c r="AB73" s="450"/>
      <c r="AC73" s="450"/>
      <c r="AD73" s="450"/>
      <c r="AE73" s="450"/>
      <c r="AF73" s="450"/>
      <c r="AG73" s="450"/>
      <c r="AH73" s="451"/>
      <c r="AI73" s="357"/>
      <c r="AJ73" s="152"/>
    </row>
    <row r="74" spans="1:36" s="202" customFormat="1" ht="11.25" customHeight="1">
      <c r="A74" s="151"/>
      <c r="B74" s="450"/>
      <c r="C74" s="450"/>
      <c r="D74" s="450"/>
      <c r="E74" s="450"/>
      <c r="F74" s="450"/>
      <c r="G74" s="450"/>
      <c r="H74" s="450"/>
      <c r="I74" s="450"/>
      <c r="J74" s="450"/>
      <c r="K74" s="450"/>
      <c r="L74" s="450"/>
      <c r="M74" s="450"/>
      <c r="N74" s="450"/>
      <c r="O74" s="450"/>
      <c r="P74" s="450"/>
      <c r="Q74" s="450"/>
      <c r="R74" s="450"/>
      <c r="S74" s="450"/>
      <c r="T74" s="450"/>
      <c r="U74" s="450"/>
      <c r="V74" s="450"/>
      <c r="W74" s="450"/>
      <c r="X74" s="450"/>
      <c r="Y74" s="450"/>
      <c r="Z74" s="450"/>
      <c r="AA74" s="450"/>
      <c r="AB74" s="450"/>
      <c r="AC74" s="450"/>
      <c r="AD74" s="450"/>
      <c r="AE74" s="450"/>
      <c r="AF74" s="450"/>
      <c r="AG74" s="450"/>
      <c r="AH74" s="451"/>
      <c r="AI74" s="357"/>
      <c r="AJ74" s="152"/>
    </row>
    <row r="75" spans="1:36" s="202" customFormat="1" ht="14.25" customHeight="1" thickBot="1">
      <c r="A75" s="153"/>
      <c r="B75" s="765"/>
      <c r="C75" s="765"/>
      <c r="D75" s="765"/>
      <c r="E75" s="765"/>
      <c r="F75" s="765"/>
      <c r="G75" s="765"/>
      <c r="H75" s="765"/>
      <c r="I75" s="765"/>
      <c r="J75" s="765"/>
      <c r="K75" s="765"/>
      <c r="L75" s="765"/>
      <c r="M75" s="765"/>
      <c r="N75" s="765"/>
      <c r="O75" s="765"/>
      <c r="P75" s="765"/>
      <c r="Q75" s="765"/>
      <c r="R75" s="765"/>
      <c r="S75" s="765"/>
      <c r="T75" s="765"/>
      <c r="U75" s="765"/>
      <c r="V75" s="765"/>
      <c r="W75" s="765"/>
      <c r="X75" s="765"/>
      <c r="Y75" s="765"/>
      <c r="Z75" s="765"/>
      <c r="AA75" s="765"/>
      <c r="AB75" s="765"/>
      <c r="AC75" s="765"/>
      <c r="AD75" s="765"/>
      <c r="AE75" s="765"/>
      <c r="AF75" s="765"/>
      <c r="AG75" s="765"/>
      <c r="AH75" s="766"/>
      <c r="AI75" s="357"/>
      <c r="AJ75" s="152"/>
    </row>
    <row r="76" spans="1:36">
      <c r="A76" s="143"/>
      <c r="B76" s="143"/>
      <c r="C76" s="143"/>
      <c r="D76" s="143"/>
      <c r="E76" s="143"/>
      <c r="F76" s="143"/>
      <c r="G76" s="143"/>
      <c r="H76" s="143"/>
      <c r="I76" s="143"/>
      <c r="J76" s="143"/>
      <c r="K76" s="143"/>
      <c r="L76" s="143"/>
      <c r="M76" s="143"/>
      <c r="N76" s="143"/>
      <c r="O76" s="143"/>
      <c r="P76" s="143"/>
      <c r="Q76" s="143"/>
      <c r="R76" s="143"/>
      <c r="S76" s="143"/>
      <c r="T76" s="143"/>
      <c r="U76" s="143"/>
      <c r="V76" s="143"/>
      <c r="W76" s="143"/>
      <c r="X76" s="143"/>
      <c r="Y76" s="143"/>
      <c r="Z76" s="143"/>
      <c r="AA76" s="143"/>
      <c r="AB76" s="143"/>
      <c r="AC76" s="143"/>
      <c r="AD76" s="143"/>
      <c r="AE76" s="143"/>
      <c r="AF76" s="143"/>
      <c r="AG76" s="143"/>
      <c r="AH76" s="143"/>
      <c r="AI76" s="143"/>
    </row>
  </sheetData>
  <mergeCells count="174">
    <mergeCell ref="B75:AH75"/>
    <mergeCell ref="B61:AH62"/>
    <mergeCell ref="B63:AH63"/>
    <mergeCell ref="B64:AH64"/>
    <mergeCell ref="B65:AH66"/>
    <mergeCell ref="B67:AH68"/>
    <mergeCell ref="B69:AH70"/>
    <mergeCell ref="B71:AH71"/>
    <mergeCell ref="B72:AH72"/>
    <mergeCell ref="B73:AH74"/>
    <mergeCell ref="H20:K20"/>
    <mergeCell ref="A6:AH6"/>
    <mergeCell ref="A22:AH22"/>
    <mergeCell ref="A11:D11"/>
    <mergeCell ref="E11:AH11"/>
    <mergeCell ref="X1:Z1"/>
    <mergeCell ref="AA1:AC1"/>
    <mergeCell ref="AD1:AH1"/>
    <mergeCell ref="X2:Z4"/>
    <mergeCell ref="AD2:AG4"/>
    <mergeCell ref="AH2:AH4"/>
    <mergeCell ref="A12:D13"/>
    <mergeCell ref="F12:AH12"/>
    <mergeCell ref="E13:AH13"/>
    <mergeCell ref="A14:D15"/>
    <mergeCell ref="E14:G15"/>
    <mergeCell ref="H14:S14"/>
    <mergeCell ref="T14:V15"/>
    <mergeCell ref="W14:AH14"/>
    <mergeCell ref="H15:S15"/>
    <mergeCell ref="W15:AH15"/>
    <mergeCell ref="T18:V18"/>
    <mergeCell ref="AA2:AC4"/>
    <mergeCell ref="W18:AH18"/>
    <mergeCell ref="A16:D18"/>
    <mergeCell ref="E16:G16"/>
    <mergeCell ref="H16:S16"/>
    <mergeCell ref="T16:V17"/>
    <mergeCell ref="W16:AH16"/>
    <mergeCell ref="E17:G17"/>
    <mergeCell ref="H17:S17"/>
    <mergeCell ref="W17:AH17"/>
    <mergeCell ref="E18:G18"/>
    <mergeCell ref="H18:S18"/>
    <mergeCell ref="E26:G26"/>
    <mergeCell ref="K26:P26"/>
    <mergeCell ref="T26:Y26"/>
    <mergeCell ref="AC26:AH26"/>
    <mergeCell ref="E27:G27"/>
    <mergeCell ref="K27:P27"/>
    <mergeCell ref="T27:Y27"/>
    <mergeCell ref="AC27:AH27"/>
    <mergeCell ref="A24:D28"/>
    <mergeCell ref="E24:AH24"/>
    <mergeCell ref="E25:G25"/>
    <mergeCell ref="H25:J28"/>
    <mergeCell ref="K25:P25"/>
    <mergeCell ref="Q25:S28"/>
    <mergeCell ref="T25:Y25"/>
    <mergeCell ref="Z25:AB28"/>
    <mergeCell ref="AC25:AH25"/>
    <mergeCell ref="Z32:AH32"/>
    <mergeCell ref="A33:G34"/>
    <mergeCell ref="H33:M33"/>
    <mergeCell ref="N33:S33"/>
    <mergeCell ref="T33:Y33"/>
    <mergeCell ref="Z33:AH33"/>
    <mergeCell ref="H34:M34"/>
    <mergeCell ref="N34:S34"/>
    <mergeCell ref="E28:G28"/>
    <mergeCell ref="K28:P28"/>
    <mergeCell ref="T28:Y28"/>
    <mergeCell ref="AC28:AH28"/>
    <mergeCell ref="E29:M30"/>
    <mergeCell ref="N29:R29"/>
    <mergeCell ref="S29:Z29"/>
    <mergeCell ref="AA29:AH29"/>
    <mergeCell ref="N30:AH30"/>
    <mergeCell ref="A37:G38"/>
    <mergeCell ref="H37:M38"/>
    <mergeCell ref="N37:S38"/>
    <mergeCell ref="T37:Y38"/>
    <mergeCell ref="Z37:AH37"/>
    <mergeCell ref="Z38:AH38"/>
    <mergeCell ref="T34:Y34"/>
    <mergeCell ref="Z34:AH34"/>
    <mergeCell ref="A35:G36"/>
    <mergeCell ref="H35:M36"/>
    <mergeCell ref="N35:S36"/>
    <mergeCell ref="T35:Y36"/>
    <mergeCell ref="Z35:AH35"/>
    <mergeCell ref="Z36:AH36"/>
    <mergeCell ref="A41:G42"/>
    <mergeCell ref="H41:M42"/>
    <mergeCell ref="N41:S42"/>
    <mergeCell ref="T41:Y42"/>
    <mergeCell ref="Z41:AH41"/>
    <mergeCell ref="Z42:AH42"/>
    <mergeCell ref="A39:G40"/>
    <mergeCell ref="H39:M40"/>
    <mergeCell ref="N39:S40"/>
    <mergeCell ref="T39:Y40"/>
    <mergeCell ref="Z39:AH39"/>
    <mergeCell ref="Z40:AH40"/>
    <mergeCell ref="Z44:AH44"/>
    <mergeCell ref="A45:G46"/>
    <mergeCell ref="H45:M45"/>
    <mergeCell ref="N45:S45"/>
    <mergeCell ref="T45:Y45"/>
    <mergeCell ref="Z45:AH46"/>
    <mergeCell ref="H46:M46"/>
    <mergeCell ref="N46:S46"/>
    <mergeCell ref="T46:Y46"/>
    <mergeCell ref="A49:G50"/>
    <mergeCell ref="H49:M49"/>
    <mergeCell ref="N49:S49"/>
    <mergeCell ref="T49:Y49"/>
    <mergeCell ref="Z49:AH49"/>
    <mergeCell ref="H50:I50"/>
    <mergeCell ref="J50:M50"/>
    <mergeCell ref="A47:G48"/>
    <mergeCell ref="H47:M47"/>
    <mergeCell ref="N47:S47"/>
    <mergeCell ref="T47:Y47"/>
    <mergeCell ref="Z47:AH47"/>
    <mergeCell ref="H48:I48"/>
    <mergeCell ref="J48:M48"/>
    <mergeCell ref="N48:O48"/>
    <mergeCell ref="P48:S48"/>
    <mergeCell ref="T48:U48"/>
    <mergeCell ref="N50:O50"/>
    <mergeCell ref="P50:S50"/>
    <mergeCell ref="T50:U50"/>
    <mergeCell ref="V50:Y50"/>
    <mergeCell ref="Z50:AB50"/>
    <mergeCell ref="AC50:AH50"/>
    <mergeCell ref="V48:Y48"/>
    <mergeCell ref="M20:AH20"/>
    <mergeCell ref="A20:G20"/>
    <mergeCell ref="A21:AH21"/>
    <mergeCell ref="A29:D30"/>
    <mergeCell ref="N54:O54"/>
    <mergeCell ref="P54:S54"/>
    <mergeCell ref="T54:U54"/>
    <mergeCell ref="V54:Y54"/>
    <mergeCell ref="Z54:AB54"/>
    <mergeCell ref="AC54:AH54"/>
    <mergeCell ref="V52:Y52"/>
    <mergeCell ref="Z52:AB52"/>
    <mergeCell ref="AC52:AH52"/>
    <mergeCell ref="A53:G54"/>
    <mergeCell ref="H53:M53"/>
    <mergeCell ref="Z48:AB48"/>
    <mergeCell ref="AC48:AH48"/>
    <mergeCell ref="N53:S53"/>
    <mergeCell ref="T53:Y53"/>
    <mergeCell ref="H51:M51"/>
    <mergeCell ref="N51:S51"/>
    <mergeCell ref="T51:Y51"/>
    <mergeCell ref="Z51:AH51"/>
    <mergeCell ref="H52:I52"/>
    <mergeCell ref="Z53:AH53"/>
    <mergeCell ref="H54:I54"/>
    <mergeCell ref="J54:M54"/>
    <mergeCell ref="A51:G52"/>
    <mergeCell ref="A55:AH55"/>
    <mergeCell ref="A56:AH56"/>
    <mergeCell ref="A59:I59"/>
    <mergeCell ref="L59:AH59"/>
    <mergeCell ref="A60:AH60"/>
    <mergeCell ref="J52:M52"/>
    <mergeCell ref="N52:O52"/>
    <mergeCell ref="P52:S52"/>
    <mergeCell ref="T52:U52"/>
  </mergeCells>
  <phoneticPr fontId="4"/>
  <conditionalFormatting sqref="N29:AH30">
    <cfRule type="expression" dxfId="12" priority="1">
      <formula>OR($E$29="",$E$29="　　　　　",$E$29="無料")</formula>
    </cfRule>
  </conditionalFormatting>
  <conditionalFormatting sqref="Z35:AH36">
    <cfRule type="expression" dxfId="11" priority="12">
      <formula>$H$35=""</formula>
    </cfRule>
  </conditionalFormatting>
  <conditionalFormatting sqref="Z37:AH38">
    <cfRule type="expression" dxfId="10" priority="11">
      <formula>$H$37=""</formula>
    </cfRule>
  </conditionalFormatting>
  <conditionalFormatting sqref="Z39:AH40">
    <cfRule type="expression" dxfId="9" priority="10">
      <formula>$H$39=""</formula>
    </cfRule>
  </conditionalFormatting>
  <conditionalFormatting sqref="Z41:AH42">
    <cfRule type="expression" dxfId="8" priority="17">
      <formula>$H$41=""</formula>
    </cfRule>
  </conditionalFormatting>
  <conditionalFormatting sqref="Z47:AH47">
    <cfRule type="expression" dxfId="7" priority="9">
      <formula>OR($H$47="",$H$47="（会議室選択）")</formula>
    </cfRule>
  </conditionalFormatting>
  <conditionalFormatting sqref="Z48:AH48">
    <cfRule type="expression" dxfId="6" priority="136">
      <formula>$AK$48=FALSE</formula>
    </cfRule>
  </conditionalFormatting>
  <conditionalFormatting sqref="Z49:AH49">
    <cfRule type="expression" dxfId="5" priority="6">
      <formula>OR($H$49="",$H$49="（会議室選択）")</formula>
    </cfRule>
  </conditionalFormatting>
  <conditionalFormatting sqref="Z50:AH50">
    <cfRule type="expression" dxfId="4" priority="138">
      <formula>$AK$50=FALSE</formula>
    </cfRule>
  </conditionalFormatting>
  <conditionalFormatting sqref="Z51:AH51">
    <cfRule type="expression" dxfId="3" priority="8">
      <formula>OR($H$51="",$H$51="（会議室選択）")</formula>
    </cfRule>
  </conditionalFormatting>
  <conditionalFormatting sqref="Z52:AH52">
    <cfRule type="expression" dxfId="2" priority="140">
      <formula>$AK$52=FALSE</formula>
    </cfRule>
  </conditionalFormatting>
  <conditionalFormatting sqref="Z53:AH53">
    <cfRule type="expression" dxfId="1" priority="7">
      <formula>OR($H$53="",$H$53="（会議室選択）")</formula>
    </cfRule>
  </conditionalFormatting>
  <conditionalFormatting sqref="Z54:AH54">
    <cfRule type="expression" dxfId="0" priority="142">
      <formula>$AK$54=FALSE</formula>
    </cfRule>
  </conditionalFormatting>
  <dataValidations count="5">
    <dataValidation type="list" allowBlank="1" showInputMessage="1" showErrorMessage="1" sqref="H47:Y47 H49:Y49 H51:Y51 H53:Y53" xr:uid="{00000000-0002-0000-0700-000000000000}">
      <formula1>"（会議室選択）,会議室１,会議室２,会議室３,会議室１・２,会議室１・３,会議室２・３,会議室１・２・３"</formula1>
    </dataValidation>
    <dataValidation type="list" allowBlank="1" showInputMessage="1" showErrorMessage="1" sqref="H35:Y42 Z42:AH42 Z40:AH40 Z38:AH38 Z36:AH36" xr:uid="{00000000-0002-0000-0700-000001000000}">
      <formula1>"準備,リハーサル,リハーサル/本番,準備/本番,本番,本番/準備,本番/撤収,撤収"</formula1>
    </dataValidation>
    <dataValidation type="list" allowBlank="1" showInputMessage="1" showErrorMessage="1" sqref="E29:M30" xr:uid="{00000000-0002-0000-0700-000002000000}">
      <formula1>"無料,有料"</formula1>
    </dataValidation>
    <dataValidation type="list" allowBlank="1" showInputMessage="1" showErrorMessage="1" sqref="Z39:AH39 Z37:AH37 Z47:AH47 Z35:AH35 Z41:AH41 Z49:AH49 Z51:AH51 Z53:AH53" xr:uid="{00000000-0002-0000-0700-000003000000}">
      <formula1>"（使用時間選択・午前使用の施設に適用）,7:30～9:30,8:00～9:30,8:30～9:30,"</formula1>
    </dataValidation>
    <dataValidation type="list" allowBlank="1" showInputMessage="1" showErrorMessage="1" sqref="AR2" xr:uid="{00000000-0002-0000-0700-000004000000}">
      <formula1>"1,2"</formula1>
    </dataValidation>
  </dataValidations>
  <printOptions horizontalCentered="1"/>
  <pageMargins left="0.59055118110236227" right="0.39370078740157483" top="0.35433070866141736" bottom="0.35433070866141736" header="0.31496062992125984" footer="0.31496062992125984"/>
  <pageSetup paperSize="9" scale="84" orientation="portrait" blackAndWhite="1" r:id="rId1"/>
  <rowBreaks count="1" manualBreakCount="1">
    <brk id="75" max="41" man="1"/>
  </rowBreaks>
  <colBreaks count="1" manualBreakCount="1">
    <brk id="35" max="74" man="1"/>
  </colBreaks>
  <drawing r:id="rId2"/>
  <legacyDrawing r:id="rId3"/>
  <mc:AlternateContent xmlns:mc="http://schemas.openxmlformats.org/markup-compatibility/2006">
    <mc:Choice Requires="x14">
      <controls>
        <mc:AlternateContent xmlns:mc="http://schemas.openxmlformats.org/markup-compatibility/2006">
          <mc:Choice Requires="x14">
            <control shapeId="25618" r:id="rId4" name="Check Box 18">
              <controlPr defaultSize="0" autoFill="0" autoLine="0" autoPict="0">
                <anchor moveWithCells="1">
                  <from>
                    <xdr:col>7</xdr:col>
                    <xdr:colOff>133350</xdr:colOff>
                    <xdr:row>46</xdr:row>
                    <xdr:rowOff>180975</xdr:rowOff>
                  </from>
                  <to>
                    <xdr:col>9</xdr:col>
                    <xdr:colOff>28575</xdr:colOff>
                    <xdr:row>48</xdr:row>
                    <xdr:rowOff>0</xdr:rowOff>
                  </to>
                </anchor>
              </controlPr>
            </control>
          </mc:Choice>
        </mc:AlternateContent>
        <mc:AlternateContent xmlns:mc="http://schemas.openxmlformats.org/markup-compatibility/2006">
          <mc:Choice Requires="x14">
            <control shapeId="25619" r:id="rId5" name="Check Box 19">
              <controlPr defaultSize="0" autoFill="0" autoLine="0" autoPict="0">
                <anchor moveWithCells="1">
                  <from>
                    <xdr:col>13</xdr:col>
                    <xdr:colOff>133350</xdr:colOff>
                    <xdr:row>46</xdr:row>
                    <xdr:rowOff>180975</xdr:rowOff>
                  </from>
                  <to>
                    <xdr:col>15</xdr:col>
                    <xdr:colOff>28575</xdr:colOff>
                    <xdr:row>48</xdr:row>
                    <xdr:rowOff>0</xdr:rowOff>
                  </to>
                </anchor>
              </controlPr>
            </control>
          </mc:Choice>
        </mc:AlternateContent>
        <mc:AlternateContent xmlns:mc="http://schemas.openxmlformats.org/markup-compatibility/2006">
          <mc:Choice Requires="x14">
            <control shapeId="25620" r:id="rId6" name="Check Box 20">
              <controlPr defaultSize="0" autoFill="0" autoLine="0" autoPict="0">
                <anchor moveWithCells="1">
                  <from>
                    <xdr:col>19</xdr:col>
                    <xdr:colOff>133350</xdr:colOff>
                    <xdr:row>46</xdr:row>
                    <xdr:rowOff>180975</xdr:rowOff>
                  </from>
                  <to>
                    <xdr:col>21</xdr:col>
                    <xdr:colOff>28575</xdr:colOff>
                    <xdr:row>48</xdr:row>
                    <xdr:rowOff>0</xdr:rowOff>
                  </to>
                </anchor>
              </controlPr>
            </control>
          </mc:Choice>
        </mc:AlternateContent>
        <mc:AlternateContent xmlns:mc="http://schemas.openxmlformats.org/markup-compatibility/2006">
          <mc:Choice Requires="x14">
            <control shapeId="25621" r:id="rId7" name="Check Box 21">
              <controlPr defaultSize="0" autoFill="0" autoLine="0" autoPict="0">
                <anchor moveWithCells="1">
                  <from>
                    <xdr:col>7</xdr:col>
                    <xdr:colOff>133350</xdr:colOff>
                    <xdr:row>48</xdr:row>
                    <xdr:rowOff>152400</xdr:rowOff>
                  </from>
                  <to>
                    <xdr:col>9</xdr:col>
                    <xdr:colOff>28575</xdr:colOff>
                    <xdr:row>50</xdr:row>
                    <xdr:rowOff>0</xdr:rowOff>
                  </to>
                </anchor>
              </controlPr>
            </control>
          </mc:Choice>
        </mc:AlternateContent>
        <mc:AlternateContent xmlns:mc="http://schemas.openxmlformats.org/markup-compatibility/2006">
          <mc:Choice Requires="x14">
            <control shapeId="25622" r:id="rId8" name="Check Box 22">
              <controlPr defaultSize="0" autoFill="0" autoLine="0" autoPict="0">
                <anchor moveWithCells="1">
                  <from>
                    <xdr:col>13</xdr:col>
                    <xdr:colOff>133350</xdr:colOff>
                    <xdr:row>48</xdr:row>
                    <xdr:rowOff>152400</xdr:rowOff>
                  </from>
                  <to>
                    <xdr:col>15</xdr:col>
                    <xdr:colOff>28575</xdr:colOff>
                    <xdr:row>50</xdr:row>
                    <xdr:rowOff>0</xdr:rowOff>
                  </to>
                </anchor>
              </controlPr>
            </control>
          </mc:Choice>
        </mc:AlternateContent>
        <mc:AlternateContent xmlns:mc="http://schemas.openxmlformats.org/markup-compatibility/2006">
          <mc:Choice Requires="x14">
            <control shapeId="25623" r:id="rId9" name="Check Box 23">
              <controlPr defaultSize="0" autoFill="0" autoLine="0" autoPict="0">
                <anchor moveWithCells="1">
                  <from>
                    <xdr:col>19</xdr:col>
                    <xdr:colOff>133350</xdr:colOff>
                    <xdr:row>48</xdr:row>
                    <xdr:rowOff>152400</xdr:rowOff>
                  </from>
                  <to>
                    <xdr:col>21</xdr:col>
                    <xdr:colOff>28575</xdr:colOff>
                    <xdr:row>50</xdr:row>
                    <xdr:rowOff>0</xdr:rowOff>
                  </to>
                </anchor>
              </controlPr>
            </control>
          </mc:Choice>
        </mc:AlternateContent>
        <mc:AlternateContent xmlns:mc="http://schemas.openxmlformats.org/markup-compatibility/2006">
          <mc:Choice Requires="x14">
            <control shapeId="25624" r:id="rId10" name="Check Box 24">
              <controlPr defaultSize="0" autoFill="0" autoLine="0" autoPict="0">
                <anchor moveWithCells="1">
                  <from>
                    <xdr:col>26</xdr:col>
                    <xdr:colOff>133350</xdr:colOff>
                    <xdr:row>46</xdr:row>
                    <xdr:rowOff>180975</xdr:rowOff>
                  </from>
                  <to>
                    <xdr:col>28</xdr:col>
                    <xdr:colOff>28575</xdr:colOff>
                    <xdr:row>48</xdr:row>
                    <xdr:rowOff>0</xdr:rowOff>
                  </to>
                </anchor>
              </controlPr>
            </control>
          </mc:Choice>
        </mc:AlternateContent>
        <mc:AlternateContent xmlns:mc="http://schemas.openxmlformats.org/markup-compatibility/2006">
          <mc:Choice Requires="x14">
            <control shapeId="25625" r:id="rId11" name="Check Box 25">
              <controlPr defaultSize="0" autoFill="0" autoLine="0" autoPict="0">
                <anchor moveWithCells="1">
                  <from>
                    <xdr:col>26</xdr:col>
                    <xdr:colOff>133350</xdr:colOff>
                    <xdr:row>48</xdr:row>
                    <xdr:rowOff>152400</xdr:rowOff>
                  </from>
                  <to>
                    <xdr:col>28</xdr:col>
                    <xdr:colOff>28575</xdr:colOff>
                    <xdr:row>50</xdr:row>
                    <xdr:rowOff>0</xdr:rowOff>
                  </to>
                </anchor>
              </controlPr>
            </control>
          </mc:Choice>
        </mc:AlternateContent>
        <mc:AlternateContent xmlns:mc="http://schemas.openxmlformats.org/markup-compatibility/2006">
          <mc:Choice Requires="x14">
            <control shapeId="25626" r:id="rId12" name="Check Box 26">
              <controlPr defaultSize="0" autoFill="0" autoLine="0" autoPict="0">
                <anchor moveWithCells="1">
                  <from>
                    <xdr:col>7</xdr:col>
                    <xdr:colOff>133350</xdr:colOff>
                    <xdr:row>50</xdr:row>
                    <xdr:rowOff>161925</xdr:rowOff>
                  </from>
                  <to>
                    <xdr:col>9</xdr:col>
                    <xdr:colOff>28575</xdr:colOff>
                    <xdr:row>52</xdr:row>
                    <xdr:rowOff>0</xdr:rowOff>
                  </to>
                </anchor>
              </controlPr>
            </control>
          </mc:Choice>
        </mc:AlternateContent>
        <mc:AlternateContent xmlns:mc="http://schemas.openxmlformats.org/markup-compatibility/2006">
          <mc:Choice Requires="x14">
            <control shapeId="25627" r:id="rId13" name="Check Box 27">
              <controlPr defaultSize="0" autoFill="0" autoLine="0" autoPict="0">
                <anchor moveWithCells="1">
                  <from>
                    <xdr:col>7</xdr:col>
                    <xdr:colOff>133350</xdr:colOff>
                    <xdr:row>52</xdr:row>
                    <xdr:rowOff>133350</xdr:rowOff>
                  </from>
                  <to>
                    <xdr:col>9</xdr:col>
                    <xdr:colOff>28575</xdr:colOff>
                    <xdr:row>54</xdr:row>
                    <xdr:rowOff>0</xdr:rowOff>
                  </to>
                </anchor>
              </controlPr>
            </control>
          </mc:Choice>
        </mc:AlternateContent>
        <mc:AlternateContent xmlns:mc="http://schemas.openxmlformats.org/markup-compatibility/2006">
          <mc:Choice Requires="x14">
            <control shapeId="25628" r:id="rId14" name="Check Box 28">
              <controlPr defaultSize="0" autoFill="0" autoLine="0" autoPict="0">
                <anchor moveWithCells="1">
                  <from>
                    <xdr:col>13</xdr:col>
                    <xdr:colOff>133350</xdr:colOff>
                    <xdr:row>50</xdr:row>
                    <xdr:rowOff>161925</xdr:rowOff>
                  </from>
                  <to>
                    <xdr:col>15</xdr:col>
                    <xdr:colOff>28575</xdr:colOff>
                    <xdr:row>52</xdr:row>
                    <xdr:rowOff>0</xdr:rowOff>
                  </to>
                </anchor>
              </controlPr>
            </control>
          </mc:Choice>
        </mc:AlternateContent>
        <mc:AlternateContent xmlns:mc="http://schemas.openxmlformats.org/markup-compatibility/2006">
          <mc:Choice Requires="x14">
            <control shapeId="25629" r:id="rId15" name="Check Box 29">
              <controlPr defaultSize="0" autoFill="0" autoLine="0" autoPict="0">
                <anchor moveWithCells="1">
                  <from>
                    <xdr:col>13</xdr:col>
                    <xdr:colOff>133350</xdr:colOff>
                    <xdr:row>52</xdr:row>
                    <xdr:rowOff>133350</xdr:rowOff>
                  </from>
                  <to>
                    <xdr:col>15</xdr:col>
                    <xdr:colOff>28575</xdr:colOff>
                    <xdr:row>54</xdr:row>
                    <xdr:rowOff>0</xdr:rowOff>
                  </to>
                </anchor>
              </controlPr>
            </control>
          </mc:Choice>
        </mc:AlternateContent>
        <mc:AlternateContent xmlns:mc="http://schemas.openxmlformats.org/markup-compatibility/2006">
          <mc:Choice Requires="x14">
            <control shapeId="25630" r:id="rId16" name="Check Box 30">
              <controlPr defaultSize="0" autoFill="0" autoLine="0" autoPict="0">
                <anchor moveWithCells="1">
                  <from>
                    <xdr:col>19</xdr:col>
                    <xdr:colOff>133350</xdr:colOff>
                    <xdr:row>50</xdr:row>
                    <xdr:rowOff>161925</xdr:rowOff>
                  </from>
                  <to>
                    <xdr:col>21</xdr:col>
                    <xdr:colOff>28575</xdr:colOff>
                    <xdr:row>52</xdr:row>
                    <xdr:rowOff>0</xdr:rowOff>
                  </to>
                </anchor>
              </controlPr>
            </control>
          </mc:Choice>
        </mc:AlternateContent>
        <mc:AlternateContent xmlns:mc="http://schemas.openxmlformats.org/markup-compatibility/2006">
          <mc:Choice Requires="x14">
            <control shapeId="25631" r:id="rId17" name="Check Box 31">
              <controlPr defaultSize="0" autoFill="0" autoLine="0" autoPict="0">
                <anchor moveWithCells="1">
                  <from>
                    <xdr:col>19</xdr:col>
                    <xdr:colOff>133350</xdr:colOff>
                    <xdr:row>52</xdr:row>
                    <xdr:rowOff>142875</xdr:rowOff>
                  </from>
                  <to>
                    <xdr:col>21</xdr:col>
                    <xdr:colOff>28575</xdr:colOff>
                    <xdr:row>54</xdr:row>
                    <xdr:rowOff>0</xdr:rowOff>
                  </to>
                </anchor>
              </controlPr>
            </control>
          </mc:Choice>
        </mc:AlternateContent>
        <mc:AlternateContent xmlns:mc="http://schemas.openxmlformats.org/markup-compatibility/2006">
          <mc:Choice Requires="x14">
            <control shapeId="25632" r:id="rId18" name="Check Box 32">
              <controlPr defaultSize="0" autoFill="0" autoLine="0" autoPict="0">
                <anchor moveWithCells="1">
                  <from>
                    <xdr:col>26</xdr:col>
                    <xdr:colOff>133350</xdr:colOff>
                    <xdr:row>50</xdr:row>
                    <xdr:rowOff>161925</xdr:rowOff>
                  </from>
                  <to>
                    <xdr:col>28</xdr:col>
                    <xdr:colOff>28575</xdr:colOff>
                    <xdr:row>52</xdr:row>
                    <xdr:rowOff>0</xdr:rowOff>
                  </to>
                </anchor>
              </controlPr>
            </control>
          </mc:Choice>
        </mc:AlternateContent>
        <mc:AlternateContent xmlns:mc="http://schemas.openxmlformats.org/markup-compatibility/2006">
          <mc:Choice Requires="x14">
            <control shapeId="25633" r:id="rId19" name="Check Box 33">
              <controlPr defaultSize="0" autoFill="0" autoLine="0" autoPict="0">
                <anchor moveWithCells="1">
                  <from>
                    <xdr:col>26</xdr:col>
                    <xdr:colOff>133350</xdr:colOff>
                    <xdr:row>52</xdr:row>
                    <xdr:rowOff>152400</xdr:rowOff>
                  </from>
                  <to>
                    <xdr:col>28</xdr:col>
                    <xdr:colOff>28575</xdr:colOff>
                    <xdr:row>54</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103"/>
  <sheetViews>
    <sheetView topLeftCell="A37" workbookViewId="0">
      <selection activeCell="N30" sqref="N30:AH32"/>
    </sheetView>
  </sheetViews>
  <sheetFormatPr defaultColWidth="9" defaultRowHeight="12"/>
  <cols>
    <col min="1" max="34" width="2.625" style="199" customWidth="1"/>
    <col min="35" max="35" width="1" style="199" customWidth="1"/>
    <col min="36" max="36" width="3.125" style="199" hidden="1" customWidth="1"/>
    <col min="37" max="39" width="6.5" style="199" hidden="1" customWidth="1"/>
    <col min="40" max="40" width="2.625" style="199" hidden="1" customWidth="1"/>
    <col min="41" max="41" width="6.5" style="199" hidden="1" customWidth="1"/>
    <col min="42" max="42" width="2.125" style="199" hidden="1" customWidth="1"/>
    <col min="43" max="43" width="6.5" style="199" customWidth="1"/>
    <col min="44" max="44" width="7.5" style="199" customWidth="1"/>
    <col min="45" max="64" width="3.125" style="199" customWidth="1"/>
    <col min="65" max="67" width="9" style="199" customWidth="1"/>
    <col min="68" max="16384" width="9" style="199"/>
  </cols>
  <sheetData>
    <row r="1" spans="1:35" ht="12" customHeight="1">
      <c r="A1" s="143" t="s">
        <v>272</v>
      </c>
      <c r="B1" s="143"/>
      <c r="C1" s="143"/>
      <c r="D1" s="143"/>
      <c r="E1" s="143"/>
      <c r="F1" s="143"/>
      <c r="G1" s="143"/>
      <c r="H1" s="143"/>
      <c r="I1" s="143"/>
      <c r="J1" s="143"/>
      <c r="K1" s="143"/>
      <c r="L1" s="195"/>
      <c r="M1" s="195"/>
      <c r="N1" s="195"/>
      <c r="O1" s="195"/>
      <c r="P1" s="195"/>
      <c r="Q1" s="195"/>
      <c r="R1" s="195"/>
      <c r="S1" s="143"/>
      <c r="T1" s="143"/>
      <c r="U1" s="143"/>
      <c r="V1" s="143"/>
      <c r="W1" s="174"/>
      <c r="X1" s="767" t="s">
        <v>279</v>
      </c>
      <c r="Y1" s="768"/>
      <c r="Z1" s="769"/>
      <c r="AA1" s="767" t="s">
        <v>280</v>
      </c>
      <c r="AB1" s="768"/>
      <c r="AC1" s="769"/>
      <c r="AD1" s="1134" t="s">
        <v>14</v>
      </c>
      <c r="AE1" s="1135"/>
      <c r="AF1" s="1135"/>
      <c r="AG1" s="1135"/>
      <c r="AH1" s="1136"/>
      <c r="AI1" s="143"/>
    </row>
    <row r="2" spans="1:35" ht="9" customHeight="1">
      <c r="A2" s="143"/>
      <c r="B2" s="143"/>
      <c r="C2" s="143"/>
      <c r="D2" s="143"/>
      <c r="E2" s="143"/>
      <c r="F2" s="143"/>
      <c r="G2" s="143"/>
      <c r="H2" s="143"/>
      <c r="I2" s="143"/>
      <c r="J2" s="143"/>
      <c r="K2" s="143"/>
      <c r="L2" s="195"/>
      <c r="M2" s="195"/>
      <c r="N2" s="195"/>
      <c r="O2" s="195"/>
      <c r="P2" s="195"/>
      <c r="Q2" s="195"/>
      <c r="R2" s="195"/>
      <c r="S2" s="143"/>
      <c r="T2" s="143"/>
      <c r="U2" s="196"/>
      <c r="V2" s="196"/>
      <c r="W2" s="197"/>
      <c r="X2" s="770"/>
      <c r="Y2" s="771"/>
      <c r="Z2" s="772"/>
      <c r="AA2" s="1155"/>
      <c r="AB2" s="1156"/>
      <c r="AC2" s="1157"/>
      <c r="AD2" s="1241" t="str">
        <f>IF(OR(内訳書!L2="○",内訳書!L2="◎"),内訳書!H2,"")</f>
        <v/>
      </c>
      <c r="AE2" s="1242"/>
      <c r="AF2" s="1242"/>
      <c r="AG2" s="1242"/>
      <c r="AH2" s="1143"/>
      <c r="AI2" s="143"/>
    </row>
    <row r="3" spans="1:35" ht="9" customHeight="1">
      <c r="A3" s="143"/>
      <c r="B3" s="143"/>
      <c r="C3" s="143"/>
      <c r="D3" s="143"/>
      <c r="E3" s="143"/>
      <c r="F3" s="143"/>
      <c r="G3" s="143"/>
      <c r="H3" s="143"/>
      <c r="I3" s="143"/>
      <c r="J3" s="143"/>
      <c r="K3" s="143"/>
      <c r="L3" s="195"/>
      <c r="M3" s="195"/>
      <c r="N3" s="195"/>
      <c r="O3" s="195"/>
      <c r="P3" s="195"/>
      <c r="Q3" s="195"/>
      <c r="R3" s="195"/>
      <c r="S3" s="143"/>
      <c r="T3" s="143"/>
      <c r="U3" s="196"/>
      <c r="V3" s="196"/>
      <c r="W3" s="197"/>
      <c r="X3" s="773"/>
      <c r="Y3" s="774"/>
      <c r="Z3" s="775"/>
      <c r="AA3" s="1158"/>
      <c r="AB3" s="1159"/>
      <c r="AC3" s="1160"/>
      <c r="AD3" s="1243"/>
      <c r="AE3" s="1244"/>
      <c r="AF3" s="1244"/>
      <c r="AG3" s="1244"/>
      <c r="AH3" s="1144"/>
      <c r="AI3" s="143"/>
    </row>
    <row r="4" spans="1:35" ht="9" customHeight="1">
      <c r="A4" s="143"/>
      <c r="B4" s="143"/>
      <c r="C4" s="143"/>
      <c r="D4" s="143"/>
      <c r="E4" s="144"/>
      <c r="F4" s="143"/>
      <c r="G4" s="143"/>
      <c r="H4" s="143"/>
      <c r="I4" s="143"/>
      <c r="J4" s="143"/>
      <c r="K4" s="143"/>
      <c r="L4" s="143"/>
      <c r="M4" s="143"/>
      <c r="N4" s="143"/>
      <c r="O4" s="143"/>
      <c r="P4" s="143"/>
      <c r="Q4" s="143"/>
      <c r="R4" s="143"/>
      <c r="S4" s="143"/>
      <c r="T4" s="143"/>
      <c r="U4" s="196"/>
      <c r="V4" s="196"/>
      <c r="W4" s="197"/>
      <c r="X4" s="776"/>
      <c r="Y4" s="777"/>
      <c r="Z4" s="778"/>
      <c r="AA4" s="1161"/>
      <c r="AB4" s="1162"/>
      <c r="AC4" s="1163"/>
      <c r="AD4" s="1245"/>
      <c r="AE4" s="1246"/>
      <c r="AF4" s="1246"/>
      <c r="AG4" s="1246"/>
      <c r="AH4" s="1145"/>
      <c r="AI4" s="143"/>
    </row>
    <row r="5" spans="1:35" ht="6.75" customHeight="1">
      <c r="A5" s="143"/>
      <c r="B5" s="143"/>
      <c r="C5" s="143"/>
      <c r="D5" s="143"/>
      <c r="E5" s="144"/>
      <c r="F5" s="143"/>
      <c r="G5" s="143"/>
      <c r="H5" s="143"/>
      <c r="I5" s="143"/>
      <c r="J5" s="143"/>
      <c r="K5" s="143"/>
      <c r="L5" s="143"/>
      <c r="M5" s="143"/>
      <c r="N5" s="143"/>
      <c r="O5" s="143"/>
      <c r="P5" s="143"/>
      <c r="Q5" s="143"/>
      <c r="R5" s="143"/>
      <c r="S5" s="143"/>
      <c r="T5" s="143"/>
      <c r="U5" s="198"/>
      <c r="V5" s="198"/>
      <c r="W5" s="198"/>
      <c r="X5" s="195"/>
      <c r="Y5" s="195"/>
      <c r="Z5" s="195"/>
      <c r="AA5" s="195"/>
      <c r="AB5" s="195"/>
      <c r="AC5" s="195"/>
      <c r="AD5" s="275"/>
      <c r="AE5" s="275"/>
      <c r="AF5" s="275"/>
      <c r="AG5" s="275"/>
      <c r="AH5" s="275"/>
      <c r="AI5" s="143"/>
    </row>
    <row r="6" spans="1:35" ht="17.25">
      <c r="A6" s="633" t="s">
        <v>295</v>
      </c>
      <c r="B6" s="633"/>
      <c r="C6" s="633"/>
      <c r="D6" s="633"/>
      <c r="E6" s="633"/>
      <c r="F6" s="633"/>
      <c r="G6" s="633"/>
      <c r="H6" s="633"/>
      <c r="I6" s="633"/>
      <c r="J6" s="633"/>
      <c r="K6" s="633"/>
      <c r="L6" s="633"/>
      <c r="M6" s="633"/>
      <c r="N6" s="633"/>
      <c r="O6" s="633"/>
      <c r="P6" s="633"/>
      <c r="Q6" s="633"/>
      <c r="R6" s="633"/>
      <c r="S6" s="633"/>
      <c r="T6" s="633"/>
      <c r="U6" s="633"/>
      <c r="V6" s="633"/>
      <c r="W6" s="633"/>
      <c r="X6" s="633"/>
      <c r="Y6" s="633"/>
      <c r="Z6" s="633"/>
      <c r="AA6" s="633"/>
      <c r="AB6" s="633"/>
      <c r="AC6" s="633"/>
      <c r="AD6" s="633"/>
      <c r="AE6" s="633"/>
      <c r="AF6" s="633"/>
      <c r="AG6" s="633"/>
      <c r="AH6" s="633"/>
      <c r="AI6" s="143"/>
    </row>
    <row r="7" spans="1:35" ht="6.75" customHeight="1">
      <c r="A7" s="186"/>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43"/>
    </row>
    <row r="8" spans="1:35">
      <c r="A8" s="143" t="s">
        <v>365</v>
      </c>
      <c r="B8" s="143"/>
      <c r="C8" s="143"/>
      <c r="D8" s="143"/>
      <c r="E8" s="143"/>
      <c r="F8" s="143"/>
      <c r="G8" s="143"/>
      <c r="H8" s="143"/>
      <c r="I8" s="143"/>
      <c r="J8" s="143"/>
      <c r="K8" s="143"/>
      <c r="L8" s="195"/>
      <c r="M8" s="195"/>
      <c r="N8" s="195"/>
      <c r="O8" s="195"/>
      <c r="P8" s="195"/>
      <c r="Q8" s="195"/>
      <c r="R8" s="195"/>
      <c r="S8" s="143"/>
      <c r="T8" s="143"/>
      <c r="U8" s="143"/>
      <c r="V8" s="143"/>
      <c r="W8" s="143"/>
      <c r="X8" s="143"/>
      <c r="Y8" s="143"/>
      <c r="Z8" s="143"/>
      <c r="AA8" s="143"/>
      <c r="AB8" s="143"/>
      <c r="AC8" s="143"/>
      <c r="AD8" s="143"/>
      <c r="AE8" s="143"/>
      <c r="AF8" s="143"/>
      <c r="AG8" s="143"/>
      <c r="AH8" s="143"/>
      <c r="AI8" s="143"/>
    </row>
    <row r="9" spans="1:35" ht="6.75" customHeight="1">
      <c r="A9" s="143"/>
      <c r="B9" s="143"/>
      <c r="C9" s="143"/>
      <c r="D9" s="143"/>
      <c r="E9" s="143"/>
      <c r="F9" s="143"/>
      <c r="G9" s="143"/>
      <c r="H9" s="143"/>
      <c r="I9" s="143"/>
      <c r="J9" s="143"/>
      <c r="K9" s="143"/>
      <c r="L9" s="195"/>
      <c r="M9" s="195"/>
      <c r="N9" s="195"/>
      <c r="O9" s="195"/>
      <c r="P9" s="195"/>
      <c r="Q9" s="195"/>
      <c r="R9" s="195"/>
      <c r="S9" s="143"/>
      <c r="T9" s="143"/>
      <c r="U9" s="143"/>
      <c r="V9" s="143"/>
      <c r="W9" s="143"/>
      <c r="X9" s="143"/>
      <c r="Y9" s="143"/>
      <c r="Z9" s="143"/>
      <c r="AA9" s="143"/>
      <c r="AB9" s="143"/>
      <c r="AC9" s="143"/>
      <c r="AD9" s="143"/>
      <c r="AE9" s="143"/>
      <c r="AF9" s="143"/>
      <c r="AG9" s="143"/>
      <c r="AH9" s="143"/>
      <c r="AI9" s="143"/>
    </row>
    <row r="10" spans="1:35" ht="15" thickBot="1">
      <c r="A10" s="166" t="s">
        <v>275</v>
      </c>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43"/>
    </row>
    <row r="11" spans="1:35" ht="20.25" customHeight="1">
      <c r="A11" s="510" t="str">
        <f>申込書!A16</f>
        <v>主催団体名</v>
      </c>
      <c r="B11" s="511"/>
      <c r="C11" s="511"/>
      <c r="D11" s="642"/>
      <c r="E11" s="1131" t="str">
        <f>IF(申込書!E16="","",申込書!E16)</f>
        <v/>
      </c>
      <c r="F11" s="1132"/>
      <c r="G11" s="1132"/>
      <c r="H11" s="1132"/>
      <c r="I11" s="1132"/>
      <c r="J11" s="1132"/>
      <c r="K11" s="1132"/>
      <c r="L11" s="1132"/>
      <c r="M11" s="1132"/>
      <c r="N11" s="1132"/>
      <c r="O11" s="1132"/>
      <c r="P11" s="1132"/>
      <c r="Q11" s="1132"/>
      <c r="R11" s="1132"/>
      <c r="S11" s="1132"/>
      <c r="T11" s="1132"/>
      <c r="U11" s="1132"/>
      <c r="V11" s="1132"/>
      <c r="W11" s="1132"/>
      <c r="X11" s="1132"/>
      <c r="Y11" s="1132"/>
      <c r="Z11" s="1132"/>
      <c r="AA11" s="1132"/>
      <c r="AB11" s="1132"/>
      <c r="AC11" s="1132"/>
      <c r="AD11" s="1132"/>
      <c r="AE11" s="1132"/>
      <c r="AF11" s="1132"/>
      <c r="AG11" s="1132"/>
      <c r="AH11" s="1133"/>
      <c r="AI11" s="143"/>
    </row>
    <row r="12" spans="1:35">
      <c r="A12" s="543" t="str">
        <f>申込書!A22</f>
        <v>所在地
または住所</v>
      </c>
      <c r="B12" s="544"/>
      <c r="C12" s="544"/>
      <c r="D12" s="545"/>
      <c r="E12" s="203" t="s">
        <v>10</v>
      </c>
      <c r="F12" s="1146" t="str">
        <f>IF(申込書!F22="","",申込書!F22)</f>
        <v/>
      </c>
      <c r="G12" s="1146"/>
      <c r="H12" s="1146"/>
      <c r="I12" s="1146"/>
      <c r="J12" s="1146"/>
      <c r="K12" s="1146"/>
      <c r="L12" s="1146"/>
      <c r="M12" s="1146"/>
      <c r="N12" s="1146"/>
      <c r="O12" s="1146"/>
      <c r="P12" s="1146"/>
      <c r="Q12" s="1146"/>
      <c r="R12" s="1146"/>
      <c r="S12" s="1146"/>
      <c r="T12" s="1146"/>
      <c r="U12" s="1146"/>
      <c r="V12" s="1146"/>
      <c r="W12" s="1146"/>
      <c r="X12" s="1146"/>
      <c r="Y12" s="1146"/>
      <c r="Z12" s="1146"/>
      <c r="AA12" s="1146"/>
      <c r="AB12" s="1146"/>
      <c r="AC12" s="1146"/>
      <c r="AD12" s="1146"/>
      <c r="AE12" s="1146"/>
      <c r="AF12" s="1146"/>
      <c r="AG12" s="1146"/>
      <c r="AH12" s="1147"/>
      <c r="AI12" s="143"/>
    </row>
    <row r="13" spans="1:35" ht="15.75" customHeight="1">
      <c r="A13" s="729"/>
      <c r="B13" s="730"/>
      <c r="C13" s="730"/>
      <c r="D13" s="731"/>
      <c r="E13" s="1148" t="str">
        <f>IF(申込書!E23="","",申込書!E23)</f>
        <v/>
      </c>
      <c r="F13" s="1148"/>
      <c r="G13" s="1148"/>
      <c r="H13" s="1148"/>
      <c r="I13" s="1148"/>
      <c r="J13" s="1148"/>
      <c r="K13" s="1148"/>
      <c r="L13" s="1148"/>
      <c r="M13" s="1148"/>
      <c r="N13" s="1148"/>
      <c r="O13" s="1148"/>
      <c r="P13" s="1148"/>
      <c r="Q13" s="1148"/>
      <c r="R13" s="1148"/>
      <c r="S13" s="1148"/>
      <c r="T13" s="1148"/>
      <c r="U13" s="1148"/>
      <c r="V13" s="1148"/>
      <c r="W13" s="1148"/>
      <c r="X13" s="1148"/>
      <c r="Y13" s="1148"/>
      <c r="Z13" s="1148"/>
      <c r="AA13" s="1148"/>
      <c r="AB13" s="1148"/>
      <c r="AC13" s="1148"/>
      <c r="AD13" s="1148"/>
      <c r="AE13" s="1148"/>
      <c r="AF13" s="1148"/>
      <c r="AG13" s="1148"/>
      <c r="AH13" s="1149"/>
      <c r="AI13" s="143"/>
    </row>
    <row r="14" spans="1:35">
      <c r="A14" s="685" t="str">
        <f>申込書!A24</f>
        <v>催事責任者</v>
      </c>
      <c r="B14" s="564"/>
      <c r="C14" s="564"/>
      <c r="D14" s="565"/>
      <c r="E14" s="689" t="s">
        <v>9</v>
      </c>
      <c r="F14" s="690"/>
      <c r="G14" s="691"/>
      <c r="H14" s="1121"/>
      <c r="I14" s="1122"/>
      <c r="J14" s="1122"/>
      <c r="K14" s="1122"/>
      <c r="L14" s="1122"/>
      <c r="M14" s="1122"/>
      <c r="N14" s="1122"/>
      <c r="O14" s="1122"/>
      <c r="P14" s="1122"/>
      <c r="Q14" s="1122"/>
      <c r="R14" s="1122"/>
      <c r="S14" s="1150"/>
      <c r="T14" s="689" t="s">
        <v>23</v>
      </c>
      <c r="U14" s="690"/>
      <c r="V14" s="691"/>
      <c r="W14" s="1121"/>
      <c r="X14" s="1122"/>
      <c r="Y14" s="1122"/>
      <c r="Z14" s="1122"/>
      <c r="AA14" s="1122"/>
      <c r="AB14" s="1122"/>
      <c r="AC14" s="1122"/>
      <c r="AD14" s="1122"/>
      <c r="AE14" s="1122"/>
      <c r="AF14" s="1122"/>
      <c r="AG14" s="1122"/>
      <c r="AH14" s="1123"/>
      <c r="AI14" s="143"/>
    </row>
    <row r="15" spans="1:35" ht="25.5" customHeight="1">
      <c r="A15" s="686"/>
      <c r="B15" s="687"/>
      <c r="C15" s="687"/>
      <c r="D15" s="688"/>
      <c r="E15" s="587"/>
      <c r="F15" s="588"/>
      <c r="G15" s="589"/>
      <c r="H15" s="1151" t="str">
        <f>IF(申込書!H25="","",申込書!H25)</f>
        <v/>
      </c>
      <c r="I15" s="1124"/>
      <c r="J15" s="1124"/>
      <c r="K15" s="1124"/>
      <c r="L15" s="1124"/>
      <c r="M15" s="1124"/>
      <c r="N15" s="1124"/>
      <c r="O15" s="1124"/>
      <c r="P15" s="1124"/>
      <c r="Q15" s="1124"/>
      <c r="R15" s="1124"/>
      <c r="S15" s="1152"/>
      <c r="T15" s="587"/>
      <c r="U15" s="588"/>
      <c r="V15" s="589"/>
      <c r="W15" s="1124" t="str">
        <f>IF(申込書!W25="","",申込書!W25)</f>
        <v/>
      </c>
      <c r="X15" s="1124"/>
      <c r="Y15" s="1124"/>
      <c r="Z15" s="1124"/>
      <c r="AA15" s="1124"/>
      <c r="AB15" s="1124"/>
      <c r="AC15" s="1124"/>
      <c r="AD15" s="1124"/>
      <c r="AE15" s="1124"/>
      <c r="AF15" s="1124"/>
      <c r="AG15" s="1124"/>
      <c r="AH15" s="1153"/>
      <c r="AI15" s="143"/>
    </row>
    <row r="16" spans="1:35" ht="11.25" customHeight="1">
      <c r="A16" s="605" t="str">
        <f>申込書!A26</f>
        <v>催事担当者</v>
      </c>
      <c r="B16" s="606"/>
      <c r="C16" s="606"/>
      <c r="D16" s="606"/>
      <c r="E16" s="713" t="s">
        <v>30</v>
      </c>
      <c r="F16" s="714"/>
      <c r="G16" s="715"/>
      <c r="H16" s="1120" t="str">
        <f>IF(申込書!H26="","",申込書!H26)</f>
        <v/>
      </c>
      <c r="I16" s="1120"/>
      <c r="J16" s="1120"/>
      <c r="K16" s="1120"/>
      <c r="L16" s="1120"/>
      <c r="M16" s="1120"/>
      <c r="N16" s="1120"/>
      <c r="O16" s="1120"/>
      <c r="P16" s="1120"/>
      <c r="Q16" s="1120"/>
      <c r="R16" s="1120"/>
      <c r="S16" s="1120"/>
      <c r="T16" s="704" t="s">
        <v>23</v>
      </c>
      <c r="U16" s="704"/>
      <c r="V16" s="704"/>
      <c r="W16" s="1121"/>
      <c r="X16" s="1122"/>
      <c r="Y16" s="1122"/>
      <c r="Z16" s="1122"/>
      <c r="AA16" s="1122"/>
      <c r="AB16" s="1122"/>
      <c r="AC16" s="1122"/>
      <c r="AD16" s="1122"/>
      <c r="AE16" s="1122"/>
      <c r="AF16" s="1122"/>
      <c r="AG16" s="1122"/>
      <c r="AH16" s="1123"/>
      <c r="AI16" s="143"/>
    </row>
    <row r="17" spans="1:35" ht="18.75" customHeight="1">
      <c r="A17" s="722"/>
      <c r="B17" s="723"/>
      <c r="C17" s="723"/>
      <c r="D17" s="723"/>
      <c r="E17" s="587" t="s">
        <v>9</v>
      </c>
      <c r="F17" s="588"/>
      <c r="G17" s="589"/>
      <c r="H17" s="1124" t="str">
        <f>IF(申込書!H27="","",申込書!H27)</f>
        <v/>
      </c>
      <c r="I17" s="1124"/>
      <c r="J17" s="1124"/>
      <c r="K17" s="1124"/>
      <c r="L17" s="1124"/>
      <c r="M17" s="1124"/>
      <c r="N17" s="1124"/>
      <c r="O17" s="1124"/>
      <c r="P17" s="1124"/>
      <c r="Q17" s="1124"/>
      <c r="R17" s="1124"/>
      <c r="S17" s="1124"/>
      <c r="T17" s="705"/>
      <c r="U17" s="705"/>
      <c r="V17" s="705"/>
      <c r="W17" s="1125" t="str">
        <f>IF(申込書!W27="","",申込書!W27)</f>
        <v/>
      </c>
      <c r="X17" s="1126"/>
      <c r="Y17" s="1126"/>
      <c r="Z17" s="1126"/>
      <c r="AA17" s="1126"/>
      <c r="AB17" s="1126"/>
      <c r="AC17" s="1126"/>
      <c r="AD17" s="1126"/>
      <c r="AE17" s="1126"/>
      <c r="AF17" s="1126"/>
      <c r="AG17" s="1126"/>
      <c r="AH17" s="1127"/>
      <c r="AI17" s="143"/>
    </row>
    <row r="18" spans="1:35" ht="14.25" customHeight="1" thickBot="1">
      <c r="A18" s="1088"/>
      <c r="B18" s="1089"/>
      <c r="C18" s="1089"/>
      <c r="D18" s="1089"/>
      <c r="E18" s="1128" t="s">
        <v>28</v>
      </c>
      <c r="F18" s="1128"/>
      <c r="G18" s="1128"/>
      <c r="H18" s="1129" t="str">
        <f>IF(申込書!H28="","",申込書!H28)</f>
        <v/>
      </c>
      <c r="I18" s="1129"/>
      <c r="J18" s="1129"/>
      <c r="K18" s="1129"/>
      <c r="L18" s="1129"/>
      <c r="M18" s="1129"/>
      <c r="N18" s="1129"/>
      <c r="O18" s="1129"/>
      <c r="P18" s="1129"/>
      <c r="Q18" s="1129"/>
      <c r="R18" s="1129"/>
      <c r="S18" s="1129"/>
      <c r="T18" s="1154" t="s">
        <v>29</v>
      </c>
      <c r="U18" s="1154"/>
      <c r="V18" s="1154"/>
      <c r="W18" s="1129" t="str">
        <f>IF(申込書!W28="","",申込書!W28)</f>
        <v/>
      </c>
      <c r="X18" s="1129"/>
      <c r="Y18" s="1129"/>
      <c r="Z18" s="1129"/>
      <c r="AA18" s="1129"/>
      <c r="AB18" s="1129"/>
      <c r="AC18" s="1129"/>
      <c r="AD18" s="1129"/>
      <c r="AE18" s="1129"/>
      <c r="AF18" s="1129"/>
      <c r="AG18" s="1129"/>
      <c r="AH18" s="1164"/>
      <c r="AI18" s="143"/>
    </row>
    <row r="19" spans="1:35" ht="10.5" customHeight="1">
      <c r="A19" s="195"/>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43"/>
    </row>
    <row r="20" spans="1:35" ht="12" customHeight="1">
      <c r="A20" s="1087" t="s">
        <v>283</v>
      </c>
      <c r="B20" s="1087"/>
      <c r="C20" s="1087"/>
      <c r="D20" s="1087"/>
      <c r="E20" s="1087"/>
      <c r="F20" s="1087"/>
      <c r="G20" s="1087"/>
      <c r="H20" s="1130" t="str">
        <f>IF(OR(内訳書!L2="○",内訳書!L2="◎"),内訳書!H2,"")</f>
        <v/>
      </c>
      <c r="I20" s="1130"/>
      <c r="J20" s="1130"/>
      <c r="K20" s="1130"/>
      <c r="L20" s="319" t="str">
        <f>IF(変更届!L20="","",変更届!L20)</f>
        <v/>
      </c>
      <c r="M20" s="462" t="s">
        <v>285</v>
      </c>
      <c r="N20" s="462"/>
      <c r="O20" s="462"/>
      <c r="P20" s="462"/>
      <c r="Q20" s="462"/>
      <c r="R20" s="462"/>
      <c r="S20" s="462"/>
      <c r="T20" s="462"/>
      <c r="U20" s="462"/>
      <c r="V20" s="462"/>
      <c r="W20" s="462"/>
      <c r="X20" s="462"/>
      <c r="Y20" s="462"/>
      <c r="Z20" s="462"/>
      <c r="AA20" s="462"/>
      <c r="AB20" s="462"/>
      <c r="AC20" s="462"/>
      <c r="AD20" s="462"/>
      <c r="AE20" s="462"/>
      <c r="AF20" s="462"/>
      <c r="AG20" s="462"/>
      <c r="AH20" s="462"/>
      <c r="AI20" s="143"/>
    </row>
    <row r="21" spans="1:35" ht="12" customHeight="1">
      <c r="A21" s="1087" t="s">
        <v>286</v>
      </c>
      <c r="B21" s="1087"/>
      <c r="C21" s="1087"/>
      <c r="D21" s="1087"/>
      <c r="E21" s="1087"/>
      <c r="F21" s="1087"/>
      <c r="G21" s="1087"/>
      <c r="H21" s="1087"/>
      <c r="I21" s="1087"/>
      <c r="J21" s="1087"/>
      <c r="K21" s="1087"/>
      <c r="L21" s="1087"/>
      <c r="M21" s="1087"/>
      <c r="N21" s="1087"/>
      <c r="O21" s="1087"/>
      <c r="P21" s="1087"/>
      <c r="Q21" s="1087"/>
      <c r="R21" s="1087"/>
      <c r="S21" s="1087"/>
      <c r="T21" s="1087"/>
      <c r="U21" s="1087"/>
      <c r="V21" s="1087"/>
      <c r="W21" s="1087"/>
      <c r="X21" s="1087"/>
      <c r="Y21" s="1087"/>
      <c r="Z21" s="1087"/>
      <c r="AA21" s="1087"/>
      <c r="AB21" s="1087"/>
      <c r="AC21" s="1087"/>
      <c r="AD21" s="1087"/>
      <c r="AE21" s="1087"/>
      <c r="AF21" s="1087"/>
      <c r="AG21" s="1087"/>
      <c r="AH21" s="1087"/>
      <c r="AI21" s="143"/>
    </row>
    <row r="22" spans="1:35">
      <c r="A22" s="517" t="s">
        <v>67</v>
      </c>
      <c r="B22" s="517"/>
      <c r="C22" s="517"/>
      <c r="D22" s="517"/>
      <c r="E22" s="517"/>
      <c r="F22" s="517"/>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c r="AD22" s="517"/>
      <c r="AE22" s="517"/>
      <c r="AF22" s="517"/>
      <c r="AG22" s="517"/>
      <c r="AH22" s="517"/>
      <c r="AI22" s="143"/>
    </row>
    <row r="23" spans="1:35" ht="15" thickBot="1">
      <c r="A23" s="165" t="s">
        <v>33</v>
      </c>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43"/>
    </row>
    <row r="24" spans="1:35">
      <c r="A24" s="1115" t="s">
        <v>179</v>
      </c>
      <c r="B24" s="1116"/>
      <c r="C24" s="1116"/>
      <c r="D24" s="1116"/>
      <c r="E24" s="1118" t="s">
        <v>183</v>
      </c>
      <c r="F24" s="1118"/>
      <c r="G24" s="1118"/>
      <c r="H24" s="1118"/>
      <c r="I24" s="1118"/>
      <c r="J24" s="1118"/>
      <c r="K24" s="1118"/>
      <c r="L24" s="1118"/>
      <c r="M24" s="1118"/>
      <c r="N24" s="1118"/>
      <c r="O24" s="1118"/>
      <c r="P24" s="1118"/>
      <c r="Q24" s="1118"/>
      <c r="R24" s="1118"/>
      <c r="S24" s="1118"/>
      <c r="T24" s="1118"/>
      <c r="U24" s="1118"/>
      <c r="V24" s="1118"/>
      <c r="W24" s="1118"/>
      <c r="X24" s="1118"/>
      <c r="Y24" s="1118"/>
      <c r="Z24" s="1118"/>
      <c r="AA24" s="1118"/>
      <c r="AB24" s="1118"/>
      <c r="AC24" s="1118"/>
      <c r="AD24" s="1118"/>
      <c r="AE24" s="1118"/>
      <c r="AF24" s="1118"/>
      <c r="AG24" s="1118"/>
      <c r="AH24" s="1119"/>
      <c r="AI24" s="143"/>
    </row>
    <row r="25" spans="1:35" ht="13.5" customHeight="1">
      <c r="A25" s="590"/>
      <c r="B25" s="591"/>
      <c r="C25" s="591"/>
      <c r="D25" s="591"/>
      <c r="E25" s="645" t="s">
        <v>164</v>
      </c>
      <c r="F25" s="646"/>
      <c r="G25" s="647"/>
      <c r="H25" s="617" t="s">
        <v>180</v>
      </c>
      <c r="I25" s="618"/>
      <c r="J25" s="619"/>
      <c r="K25" s="1234"/>
      <c r="L25" s="1235"/>
      <c r="M25" s="1235"/>
      <c r="N25" s="1235"/>
      <c r="O25" s="1235"/>
      <c r="P25" s="1236"/>
      <c r="Q25" s="617" t="s">
        <v>181</v>
      </c>
      <c r="R25" s="618"/>
      <c r="S25" s="619"/>
      <c r="T25" s="1234"/>
      <c r="U25" s="1235"/>
      <c r="V25" s="1235"/>
      <c r="W25" s="1235"/>
      <c r="X25" s="1235"/>
      <c r="Y25" s="1236"/>
      <c r="Z25" s="617" t="s">
        <v>182</v>
      </c>
      <c r="AA25" s="618"/>
      <c r="AB25" s="619"/>
      <c r="AC25" s="1234"/>
      <c r="AD25" s="1235"/>
      <c r="AE25" s="1235"/>
      <c r="AF25" s="1235"/>
      <c r="AG25" s="1235"/>
      <c r="AH25" s="1237"/>
      <c r="AI25" s="143"/>
    </row>
    <row r="26" spans="1:35" ht="13.5" customHeight="1">
      <c r="A26" s="590"/>
      <c r="B26" s="591"/>
      <c r="C26" s="591"/>
      <c r="D26" s="591"/>
      <c r="E26" s="645" t="s">
        <v>165</v>
      </c>
      <c r="F26" s="646"/>
      <c r="G26" s="647"/>
      <c r="H26" s="620"/>
      <c r="I26" s="621"/>
      <c r="J26" s="622"/>
      <c r="K26" s="1230"/>
      <c r="L26" s="1231"/>
      <c r="M26" s="1231"/>
      <c r="N26" s="1231"/>
      <c r="O26" s="1231"/>
      <c r="P26" s="1232"/>
      <c r="Q26" s="620"/>
      <c r="R26" s="621"/>
      <c r="S26" s="622"/>
      <c r="T26" s="1230"/>
      <c r="U26" s="1231"/>
      <c r="V26" s="1231"/>
      <c r="W26" s="1231"/>
      <c r="X26" s="1231"/>
      <c r="Y26" s="1232"/>
      <c r="Z26" s="620"/>
      <c r="AA26" s="621"/>
      <c r="AB26" s="622"/>
      <c r="AC26" s="1230"/>
      <c r="AD26" s="1231"/>
      <c r="AE26" s="1231"/>
      <c r="AF26" s="1231"/>
      <c r="AG26" s="1231"/>
      <c r="AH26" s="1233"/>
      <c r="AI26" s="143"/>
    </row>
    <row r="27" spans="1:35" ht="13.5" customHeight="1">
      <c r="A27" s="590"/>
      <c r="B27" s="591"/>
      <c r="C27" s="591"/>
      <c r="D27" s="591"/>
      <c r="E27" s="645" t="s">
        <v>166</v>
      </c>
      <c r="F27" s="646"/>
      <c r="G27" s="647"/>
      <c r="H27" s="620"/>
      <c r="I27" s="621"/>
      <c r="J27" s="622"/>
      <c r="K27" s="1230"/>
      <c r="L27" s="1231"/>
      <c r="M27" s="1231"/>
      <c r="N27" s="1231"/>
      <c r="O27" s="1231"/>
      <c r="P27" s="1232"/>
      <c r="Q27" s="620"/>
      <c r="R27" s="621"/>
      <c r="S27" s="622"/>
      <c r="T27" s="1230"/>
      <c r="U27" s="1231"/>
      <c r="V27" s="1231"/>
      <c r="W27" s="1231"/>
      <c r="X27" s="1231"/>
      <c r="Y27" s="1232"/>
      <c r="Z27" s="620"/>
      <c r="AA27" s="621"/>
      <c r="AB27" s="622"/>
      <c r="AC27" s="1230"/>
      <c r="AD27" s="1231"/>
      <c r="AE27" s="1231"/>
      <c r="AF27" s="1231"/>
      <c r="AG27" s="1231"/>
      <c r="AH27" s="1233"/>
      <c r="AI27" s="143"/>
    </row>
    <row r="28" spans="1:35">
      <c r="A28" s="1117"/>
      <c r="B28" s="573"/>
      <c r="C28" s="573"/>
      <c r="D28" s="573"/>
      <c r="E28" s="1107" t="s">
        <v>167</v>
      </c>
      <c r="F28" s="1108"/>
      <c r="G28" s="1109"/>
      <c r="H28" s="620"/>
      <c r="I28" s="621"/>
      <c r="J28" s="622"/>
      <c r="K28" s="1238"/>
      <c r="L28" s="783"/>
      <c r="M28" s="783"/>
      <c r="N28" s="783"/>
      <c r="O28" s="783"/>
      <c r="P28" s="1239"/>
      <c r="Q28" s="620"/>
      <c r="R28" s="621"/>
      <c r="S28" s="622"/>
      <c r="T28" s="1238"/>
      <c r="U28" s="783"/>
      <c r="V28" s="783"/>
      <c r="W28" s="783"/>
      <c r="X28" s="783"/>
      <c r="Y28" s="1239"/>
      <c r="Z28" s="620"/>
      <c r="AA28" s="621"/>
      <c r="AB28" s="622"/>
      <c r="AC28" s="1238"/>
      <c r="AD28" s="783"/>
      <c r="AE28" s="783"/>
      <c r="AF28" s="783"/>
      <c r="AG28" s="783"/>
      <c r="AH28" s="1240"/>
      <c r="AI28" s="143"/>
    </row>
    <row r="29" spans="1:35" ht="14.25" customHeight="1">
      <c r="A29" s="605" t="s">
        <v>46</v>
      </c>
      <c r="B29" s="606"/>
      <c r="C29" s="606"/>
      <c r="D29" s="606"/>
      <c r="E29" s="1224" t="s">
        <v>296</v>
      </c>
      <c r="F29" s="1224"/>
      <c r="G29" s="1224"/>
      <c r="H29" s="1224"/>
      <c r="I29" s="1224"/>
      <c r="J29" s="1224"/>
      <c r="K29" s="1224"/>
      <c r="L29" s="1224"/>
      <c r="M29" s="1225"/>
      <c r="N29" s="564" t="s">
        <v>297</v>
      </c>
      <c r="O29" s="564"/>
      <c r="P29" s="564"/>
      <c r="Q29" s="564"/>
      <c r="R29" s="564"/>
      <c r="S29" s="1228"/>
      <c r="T29" s="1229"/>
      <c r="U29" s="1229"/>
      <c r="V29" s="1229"/>
      <c r="W29" s="1229"/>
      <c r="X29" s="1229"/>
      <c r="Y29" s="1229"/>
      <c r="Z29" s="1229"/>
      <c r="AA29" s="615" t="s">
        <v>298</v>
      </c>
      <c r="AB29" s="615"/>
      <c r="AC29" s="615"/>
      <c r="AD29" s="615"/>
      <c r="AE29" s="615"/>
      <c r="AF29" s="615"/>
      <c r="AG29" s="615"/>
      <c r="AH29" s="616"/>
      <c r="AI29" s="143"/>
    </row>
    <row r="30" spans="1:35" ht="14.25" customHeight="1" thickBot="1">
      <c r="A30" s="1088"/>
      <c r="B30" s="1089"/>
      <c r="C30" s="1089"/>
      <c r="D30" s="1089"/>
      <c r="E30" s="1226"/>
      <c r="F30" s="1226"/>
      <c r="G30" s="1226"/>
      <c r="H30" s="1226"/>
      <c r="I30" s="1226"/>
      <c r="J30" s="1226"/>
      <c r="K30" s="1226"/>
      <c r="L30" s="1226"/>
      <c r="M30" s="1227"/>
      <c r="N30" s="567" t="s">
        <v>299</v>
      </c>
      <c r="O30" s="567"/>
      <c r="P30" s="567"/>
      <c r="Q30" s="567"/>
      <c r="R30" s="567"/>
      <c r="S30" s="567"/>
      <c r="T30" s="567"/>
      <c r="U30" s="567"/>
      <c r="V30" s="567"/>
      <c r="W30" s="567"/>
      <c r="X30" s="567"/>
      <c r="Y30" s="567"/>
      <c r="Z30" s="567"/>
      <c r="AA30" s="567"/>
      <c r="AB30" s="567"/>
      <c r="AC30" s="567"/>
      <c r="AD30" s="567"/>
      <c r="AE30" s="567"/>
      <c r="AF30" s="567"/>
      <c r="AG30" s="567"/>
      <c r="AH30" s="1114"/>
      <c r="AI30" s="143"/>
    </row>
    <row r="31" spans="1:35" ht="6" customHeight="1" thickBot="1">
      <c r="A31" s="167"/>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43"/>
    </row>
    <row r="32" spans="1:35" ht="15" thickBot="1">
      <c r="A32" s="166" t="s">
        <v>57</v>
      </c>
      <c r="B32" s="173"/>
      <c r="C32" s="173"/>
      <c r="D32" s="173"/>
      <c r="E32" s="173"/>
      <c r="F32" s="173"/>
      <c r="G32" s="173"/>
      <c r="H32" s="173"/>
      <c r="I32" s="173"/>
      <c r="J32" s="173"/>
      <c r="K32" s="173"/>
      <c r="L32" s="173"/>
      <c r="M32" s="173"/>
      <c r="N32" s="173"/>
      <c r="O32" s="173"/>
      <c r="P32" s="173"/>
      <c r="Q32" s="173"/>
      <c r="R32" s="173"/>
      <c r="S32" s="173"/>
      <c r="T32" s="173"/>
      <c r="U32" s="143"/>
      <c r="V32" s="143"/>
      <c r="W32" s="143"/>
      <c r="X32" s="143"/>
      <c r="Y32" s="143"/>
      <c r="Z32" s="724" t="s">
        <v>56</v>
      </c>
      <c r="AA32" s="634"/>
      <c r="AB32" s="634"/>
      <c r="AC32" s="634"/>
      <c r="AD32" s="634"/>
      <c r="AE32" s="634"/>
      <c r="AF32" s="634"/>
      <c r="AG32" s="634"/>
      <c r="AH32" s="677"/>
      <c r="AI32" s="143"/>
    </row>
    <row r="33" spans="1:37" ht="13.5" customHeight="1">
      <c r="A33" s="724" t="s">
        <v>59</v>
      </c>
      <c r="B33" s="634"/>
      <c r="C33" s="634"/>
      <c r="D33" s="634"/>
      <c r="E33" s="634"/>
      <c r="F33" s="634"/>
      <c r="G33" s="635"/>
      <c r="H33" s="676" t="s">
        <v>50</v>
      </c>
      <c r="I33" s="634"/>
      <c r="J33" s="634"/>
      <c r="K33" s="634"/>
      <c r="L33" s="634"/>
      <c r="M33" s="635"/>
      <c r="N33" s="676" t="s">
        <v>52</v>
      </c>
      <c r="O33" s="634"/>
      <c r="P33" s="634"/>
      <c r="Q33" s="634"/>
      <c r="R33" s="634"/>
      <c r="S33" s="635"/>
      <c r="T33" s="676" t="s">
        <v>54</v>
      </c>
      <c r="U33" s="634"/>
      <c r="V33" s="634"/>
      <c r="W33" s="634"/>
      <c r="X33" s="634"/>
      <c r="Y33" s="677"/>
      <c r="Z33" s="579" t="s">
        <v>230</v>
      </c>
      <c r="AA33" s="580"/>
      <c r="AB33" s="580"/>
      <c r="AC33" s="580"/>
      <c r="AD33" s="580"/>
      <c r="AE33" s="580"/>
      <c r="AF33" s="580"/>
      <c r="AG33" s="580"/>
      <c r="AH33" s="581"/>
      <c r="AI33" s="143"/>
    </row>
    <row r="34" spans="1:37" ht="14.25" customHeight="1" thickBot="1">
      <c r="A34" s="725"/>
      <c r="B34" s="679"/>
      <c r="C34" s="679"/>
      <c r="D34" s="679"/>
      <c r="E34" s="679"/>
      <c r="F34" s="679"/>
      <c r="G34" s="680"/>
      <c r="H34" s="678" t="s">
        <v>228</v>
      </c>
      <c r="I34" s="679"/>
      <c r="J34" s="679"/>
      <c r="K34" s="679"/>
      <c r="L34" s="679"/>
      <c r="M34" s="680"/>
      <c r="N34" s="678" t="s">
        <v>227</v>
      </c>
      <c r="O34" s="679"/>
      <c r="P34" s="679"/>
      <c r="Q34" s="679"/>
      <c r="R34" s="679"/>
      <c r="S34" s="680"/>
      <c r="T34" s="678" t="s">
        <v>55</v>
      </c>
      <c r="U34" s="679"/>
      <c r="V34" s="679"/>
      <c r="W34" s="679"/>
      <c r="X34" s="679"/>
      <c r="Y34" s="681"/>
      <c r="Z34" s="746" t="s">
        <v>58</v>
      </c>
      <c r="AA34" s="747"/>
      <c r="AB34" s="747"/>
      <c r="AC34" s="747"/>
      <c r="AD34" s="747"/>
      <c r="AE34" s="747"/>
      <c r="AF34" s="747"/>
      <c r="AG34" s="747"/>
      <c r="AH34" s="748"/>
      <c r="AI34" s="143"/>
    </row>
    <row r="35" spans="1:37" ht="15" customHeight="1" thickTop="1">
      <c r="A35" s="1183"/>
      <c r="B35" s="1184"/>
      <c r="C35" s="1184"/>
      <c r="D35" s="1184"/>
      <c r="E35" s="1184"/>
      <c r="F35" s="1184"/>
      <c r="G35" s="1185"/>
      <c r="H35" s="1218" t="s">
        <v>300</v>
      </c>
      <c r="I35" s="1219"/>
      <c r="J35" s="1219"/>
      <c r="K35" s="1219"/>
      <c r="L35" s="1219"/>
      <c r="M35" s="1220"/>
      <c r="N35" s="1218" t="s">
        <v>301</v>
      </c>
      <c r="O35" s="1219"/>
      <c r="P35" s="1219"/>
      <c r="Q35" s="1219"/>
      <c r="R35" s="1219"/>
      <c r="S35" s="1220"/>
      <c r="T35" s="1218" t="s">
        <v>301</v>
      </c>
      <c r="U35" s="1219"/>
      <c r="V35" s="1219"/>
      <c r="W35" s="1219"/>
      <c r="X35" s="1219"/>
      <c r="Y35" s="1220"/>
      <c r="Z35" s="1221" t="s">
        <v>303</v>
      </c>
      <c r="AA35" s="1222"/>
      <c r="AB35" s="1222"/>
      <c r="AC35" s="1222"/>
      <c r="AD35" s="1222"/>
      <c r="AE35" s="1222"/>
      <c r="AF35" s="1222"/>
      <c r="AG35" s="1222"/>
      <c r="AH35" s="1223"/>
      <c r="AI35" s="143"/>
    </row>
    <row r="36" spans="1:37" ht="15" customHeight="1">
      <c r="A36" s="1175"/>
      <c r="B36" s="1176"/>
      <c r="C36" s="1176"/>
      <c r="D36" s="1176"/>
      <c r="E36" s="1176"/>
      <c r="F36" s="1176"/>
      <c r="G36" s="1177"/>
      <c r="H36" s="1190"/>
      <c r="I36" s="1191"/>
      <c r="J36" s="1191"/>
      <c r="K36" s="1191"/>
      <c r="L36" s="1191"/>
      <c r="M36" s="1192"/>
      <c r="N36" s="1190"/>
      <c r="O36" s="1191"/>
      <c r="P36" s="1191"/>
      <c r="Q36" s="1191"/>
      <c r="R36" s="1191"/>
      <c r="S36" s="1192"/>
      <c r="T36" s="1190"/>
      <c r="U36" s="1191"/>
      <c r="V36" s="1191"/>
      <c r="W36" s="1191"/>
      <c r="X36" s="1191"/>
      <c r="Y36" s="1192"/>
      <c r="Z36" s="1212" t="s">
        <v>300</v>
      </c>
      <c r="AA36" s="1213"/>
      <c r="AB36" s="1213"/>
      <c r="AC36" s="1213"/>
      <c r="AD36" s="1213"/>
      <c r="AE36" s="1213"/>
      <c r="AF36" s="1213"/>
      <c r="AG36" s="1213"/>
      <c r="AH36" s="1214"/>
      <c r="AI36" s="143"/>
    </row>
    <row r="37" spans="1:37" ht="15" customHeight="1">
      <c r="A37" s="1202"/>
      <c r="B37" s="1203"/>
      <c r="C37" s="1203"/>
      <c r="D37" s="1203"/>
      <c r="E37" s="1203"/>
      <c r="F37" s="1203"/>
      <c r="G37" s="1204"/>
      <c r="H37" s="1205" t="s">
        <v>301</v>
      </c>
      <c r="I37" s="1206"/>
      <c r="J37" s="1206"/>
      <c r="K37" s="1206"/>
      <c r="L37" s="1206"/>
      <c r="M37" s="1207"/>
      <c r="N37" s="1205" t="s">
        <v>301</v>
      </c>
      <c r="O37" s="1206"/>
      <c r="P37" s="1206"/>
      <c r="Q37" s="1206"/>
      <c r="R37" s="1206"/>
      <c r="S37" s="1207"/>
      <c r="T37" s="1205" t="s">
        <v>301</v>
      </c>
      <c r="U37" s="1206"/>
      <c r="V37" s="1206"/>
      <c r="W37" s="1206"/>
      <c r="X37" s="1206"/>
      <c r="Y37" s="1208"/>
      <c r="Z37" s="1196" t="s">
        <v>303</v>
      </c>
      <c r="AA37" s="1197"/>
      <c r="AB37" s="1197"/>
      <c r="AC37" s="1197"/>
      <c r="AD37" s="1197"/>
      <c r="AE37" s="1197"/>
      <c r="AF37" s="1197"/>
      <c r="AG37" s="1197"/>
      <c r="AH37" s="1198"/>
      <c r="AI37" s="143"/>
      <c r="AK37" s="201"/>
    </row>
    <row r="38" spans="1:37" ht="15" customHeight="1">
      <c r="A38" s="1202"/>
      <c r="B38" s="1203"/>
      <c r="C38" s="1203"/>
      <c r="D38" s="1203"/>
      <c r="E38" s="1203"/>
      <c r="F38" s="1203"/>
      <c r="G38" s="1204"/>
      <c r="H38" s="1205"/>
      <c r="I38" s="1206"/>
      <c r="J38" s="1206"/>
      <c r="K38" s="1206"/>
      <c r="L38" s="1206"/>
      <c r="M38" s="1207"/>
      <c r="N38" s="1205"/>
      <c r="O38" s="1206"/>
      <c r="P38" s="1206"/>
      <c r="Q38" s="1206"/>
      <c r="R38" s="1206"/>
      <c r="S38" s="1207"/>
      <c r="T38" s="1205"/>
      <c r="U38" s="1206"/>
      <c r="V38" s="1206"/>
      <c r="W38" s="1206"/>
      <c r="X38" s="1206"/>
      <c r="Y38" s="1208"/>
      <c r="Z38" s="1215" t="s">
        <v>301</v>
      </c>
      <c r="AA38" s="1216"/>
      <c r="AB38" s="1216"/>
      <c r="AC38" s="1216"/>
      <c r="AD38" s="1216"/>
      <c r="AE38" s="1216"/>
      <c r="AF38" s="1216"/>
      <c r="AG38" s="1216"/>
      <c r="AH38" s="1217"/>
      <c r="AI38" s="143"/>
    </row>
    <row r="39" spans="1:37" ht="15" customHeight="1">
      <c r="A39" s="1202"/>
      <c r="B39" s="1203"/>
      <c r="C39" s="1203"/>
      <c r="D39" s="1203"/>
      <c r="E39" s="1203"/>
      <c r="F39" s="1203"/>
      <c r="G39" s="1204"/>
      <c r="H39" s="1205" t="s">
        <v>301</v>
      </c>
      <c r="I39" s="1206"/>
      <c r="J39" s="1206"/>
      <c r="K39" s="1206"/>
      <c r="L39" s="1206"/>
      <c r="M39" s="1207"/>
      <c r="N39" s="1205" t="s">
        <v>301</v>
      </c>
      <c r="O39" s="1206"/>
      <c r="P39" s="1206"/>
      <c r="Q39" s="1206"/>
      <c r="R39" s="1206"/>
      <c r="S39" s="1207"/>
      <c r="T39" s="1205" t="s">
        <v>301</v>
      </c>
      <c r="U39" s="1206"/>
      <c r="V39" s="1206"/>
      <c r="W39" s="1206"/>
      <c r="X39" s="1206"/>
      <c r="Y39" s="1208"/>
      <c r="Z39" s="1209" t="s">
        <v>303</v>
      </c>
      <c r="AA39" s="1210"/>
      <c r="AB39" s="1210"/>
      <c r="AC39" s="1210"/>
      <c r="AD39" s="1210"/>
      <c r="AE39" s="1210"/>
      <c r="AF39" s="1210"/>
      <c r="AG39" s="1210"/>
      <c r="AH39" s="1211"/>
      <c r="AI39" s="143"/>
    </row>
    <row r="40" spans="1:37" ht="15" customHeight="1">
      <c r="A40" s="1202"/>
      <c r="B40" s="1203"/>
      <c r="C40" s="1203"/>
      <c r="D40" s="1203"/>
      <c r="E40" s="1203"/>
      <c r="F40" s="1203"/>
      <c r="G40" s="1204"/>
      <c r="H40" s="1205"/>
      <c r="I40" s="1206"/>
      <c r="J40" s="1206"/>
      <c r="K40" s="1206"/>
      <c r="L40" s="1206"/>
      <c r="M40" s="1207"/>
      <c r="N40" s="1205"/>
      <c r="O40" s="1206"/>
      <c r="P40" s="1206"/>
      <c r="Q40" s="1206"/>
      <c r="R40" s="1206"/>
      <c r="S40" s="1207"/>
      <c r="T40" s="1205"/>
      <c r="U40" s="1206"/>
      <c r="V40" s="1206"/>
      <c r="W40" s="1206"/>
      <c r="X40" s="1206"/>
      <c r="Y40" s="1208"/>
      <c r="Z40" s="1212" t="s">
        <v>301</v>
      </c>
      <c r="AA40" s="1213"/>
      <c r="AB40" s="1213"/>
      <c r="AC40" s="1213"/>
      <c r="AD40" s="1213"/>
      <c r="AE40" s="1213"/>
      <c r="AF40" s="1213"/>
      <c r="AG40" s="1213"/>
      <c r="AH40" s="1214"/>
      <c r="AI40" s="143"/>
    </row>
    <row r="41" spans="1:37" ht="15" customHeight="1">
      <c r="A41" s="1175"/>
      <c r="B41" s="1176"/>
      <c r="C41" s="1176"/>
      <c r="D41" s="1176"/>
      <c r="E41" s="1176"/>
      <c r="F41" s="1176"/>
      <c r="G41" s="1177"/>
      <c r="H41" s="1190" t="s">
        <v>301</v>
      </c>
      <c r="I41" s="1191"/>
      <c r="J41" s="1191"/>
      <c r="K41" s="1191"/>
      <c r="L41" s="1191"/>
      <c r="M41" s="1192"/>
      <c r="N41" s="1190" t="s">
        <v>301</v>
      </c>
      <c r="O41" s="1191"/>
      <c r="P41" s="1191"/>
      <c r="Q41" s="1191"/>
      <c r="R41" s="1191"/>
      <c r="S41" s="1192"/>
      <c r="T41" s="1190" t="s">
        <v>302</v>
      </c>
      <c r="U41" s="1191"/>
      <c r="V41" s="1191"/>
      <c r="W41" s="1191"/>
      <c r="X41" s="1191"/>
      <c r="Y41" s="1192"/>
      <c r="Z41" s="1196" t="s">
        <v>303</v>
      </c>
      <c r="AA41" s="1197"/>
      <c r="AB41" s="1197"/>
      <c r="AC41" s="1197"/>
      <c r="AD41" s="1197"/>
      <c r="AE41" s="1197"/>
      <c r="AF41" s="1197"/>
      <c r="AG41" s="1197"/>
      <c r="AH41" s="1198"/>
      <c r="AI41" s="143"/>
    </row>
    <row r="42" spans="1:37" ht="15" customHeight="1" thickBot="1">
      <c r="A42" s="1178"/>
      <c r="B42" s="1179"/>
      <c r="C42" s="1179"/>
      <c r="D42" s="1179"/>
      <c r="E42" s="1179"/>
      <c r="F42" s="1179"/>
      <c r="G42" s="1180"/>
      <c r="H42" s="1193"/>
      <c r="I42" s="1194"/>
      <c r="J42" s="1194"/>
      <c r="K42" s="1194"/>
      <c r="L42" s="1194"/>
      <c r="M42" s="1195"/>
      <c r="N42" s="1193"/>
      <c r="O42" s="1194"/>
      <c r="P42" s="1194"/>
      <c r="Q42" s="1194"/>
      <c r="R42" s="1194"/>
      <c r="S42" s="1195"/>
      <c r="T42" s="1193"/>
      <c r="U42" s="1194"/>
      <c r="V42" s="1194"/>
      <c r="W42" s="1194"/>
      <c r="X42" s="1194"/>
      <c r="Y42" s="1195"/>
      <c r="Z42" s="1199" t="s">
        <v>301</v>
      </c>
      <c r="AA42" s="1200"/>
      <c r="AB42" s="1200"/>
      <c r="AC42" s="1200"/>
      <c r="AD42" s="1200"/>
      <c r="AE42" s="1200"/>
      <c r="AF42" s="1200"/>
      <c r="AG42" s="1200"/>
      <c r="AH42" s="1201"/>
      <c r="AI42" s="143"/>
    </row>
    <row r="43" spans="1:37" ht="6" customHeight="1" thickBot="1">
      <c r="A43" s="143"/>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row>
    <row r="44" spans="1:37" ht="15" thickBot="1">
      <c r="A44" s="166" t="s">
        <v>185</v>
      </c>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510" t="s">
        <v>56</v>
      </c>
      <c r="AA44" s="511"/>
      <c r="AB44" s="511"/>
      <c r="AC44" s="511"/>
      <c r="AD44" s="511"/>
      <c r="AE44" s="511"/>
      <c r="AF44" s="511"/>
      <c r="AG44" s="511"/>
      <c r="AH44" s="512"/>
      <c r="AI44" s="143"/>
    </row>
    <row r="45" spans="1:37" ht="13.5" customHeight="1">
      <c r="A45" s="724" t="s">
        <v>59</v>
      </c>
      <c r="B45" s="634"/>
      <c r="C45" s="634"/>
      <c r="D45" s="634"/>
      <c r="E45" s="634"/>
      <c r="F45" s="634"/>
      <c r="G45" s="635"/>
      <c r="H45" s="676" t="s">
        <v>50</v>
      </c>
      <c r="I45" s="634"/>
      <c r="J45" s="634"/>
      <c r="K45" s="634"/>
      <c r="L45" s="634"/>
      <c r="M45" s="635"/>
      <c r="N45" s="676" t="s">
        <v>52</v>
      </c>
      <c r="O45" s="634"/>
      <c r="P45" s="634"/>
      <c r="Q45" s="634"/>
      <c r="R45" s="634"/>
      <c r="S45" s="635"/>
      <c r="T45" s="634" t="s">
        <v>54</v>
      </c>
      <c r="U45" s="634"/>
      <c r="V45" s="634"/>
      <c r="W45" s="634"/>
      <c r="X45" s="634"/>
      <c r="Y45" s="677"/>
      <c r="Z45" s="516" t="s">
        <v>230</v>
      </c>
      <c r="AA45" s="517"/>
      <c r="AB45" s="517"/>
      <c r="AC45" s="517"/>
      <c r="AD45" s="517"/>
      <c r="AE45" s="517"/>
      <c r="AF45" s="517"/>
      <c r="AG45" s="517"/>
      <c r="AH45" s="518"/>
      <c r="AI45" s="143"/>
      <c r="AK45" s="201"/>
    </row>
    <row r="46" spans="1:37" ht="14.25" customHeight="1" thickBot="1">
      <c r="A46" s="725"/>
      <c r="B46" s="679"/>
      <c r="C46" s="679"/>
      <c r="D46" s="679"/>
      <c r="E46" s="679"/>
      <c r="F46" s="679"/>
      <c r="G46" s="680"/>
      <c r="H46" s="678" t="s">
        <v>228</v>
      </c>
      <c r="I46" s="679"/>
      <c r="J46" s="679"/>
      <c r="K46" s="679"/>
      <c r="L46" s="679"/>
      <c r="M46" s="680"/>
      <c r="N46" s="678" t="s">
        <v>227</v>
      </c>
      <c r="O46" s="679"/>
      <c r="P46" s="679"/>
      <c r="Q46" s="679"/>
      <c r="R46" s="679"/>
      <c r="S46" s="680"/>
      <c r="T46" s="679" t="s">
        <v>55</v>
      </c>
      <c r="U46" s="679"/>
      <c r="V46" s="679"/>
      <c r="W46" s="679"/>
      <c r="X46" s="679"/>
      <c r="Y46" s="681"/>
      <c r="Z46" s="519"/>
      <c r="AA46" s="520"/>
      <c r="AB46" s="520"/>
      <c r="AC46" s="520"/>
      <c r="AD46" s="520"/>
      <c r="AE46" s="520"/>
      <c r="AF46" s="520"/>
      <c r="AG46" s="520"/>
      <c r="AH46" s="521"/>
      <c r="AI46" s="143"/>
    </row>
    <row r="47" spans="1:37" ht="3" customHeight="1" thickTop="1">
      <c r="A47" s="1183"/>
      <c r="B47" s="1184"/>
      <c r="C47" s="1184"/>
      <c r="D47" s="1184"/>
      <c r="E47" s="1184"/>
      <c r="F47" s="1184"/>
      <c r="G47" s="1185"/>
      <c r="H47" s="278"/>
      <c r="I47" s="279"/>
      <c r="J47" s="279"/>
      <c r="K47" s="279"/>
      <c r="L47" s="279"/>
      <c r="M47" s="280"/>
      <c r="N47" s="278"/>
      <c r="O47" s="279"/>
      <c r="P47" s="279"/>
      <c r="Q47" s="279"/>
      <c r="R47" s="279"/>
      <c r="S47" s="280"/>
      <c r="T47" s="277"/>
      <c r="U47" s="277"/>
      <c r="V47" s="277"/>
      <c r="W47" s="277"/>
      <c r="X47" s="277"/>
      <c r="Y47" s="281"/>
      <c r="Z47" s="276"/>
      <c r="AA47" s="277"/>
      <c r="AB47" s="277"/>
      <c r="AC47" s="277"/>
      <c r="AD47" s="277"/>
      <c r="AE47" s="277"/>
      <c r="AF47" s="277"/>
      <c r="AG47" s="277"/>
      <c r="AH47" s="281"/>
      <c r="AI47" s="143"/>
    </row>
    <row r="48" spans="1:37" ht="15" customHeight="1">
      <c r="A48" s="1175"/>
      <c r="B48" s="1176"/>
      <c r="C48" s="1176"/>
      <c r="D48" s="1176"/>
      <c r="E48" s="1176"/>
      <c r="F48" s="1176"/>
      <c r="G48" s="1177"/>
      <c r="H48" s="282"/>
      <c r="I48" s="283"/>
      <c r="J48" s="1167" t="s">
        <v>304</v>
      </c>
      <c r="K48" s="1167"/>
      <c r="L48" s="1167"/>
      <c r="M48" s="1168"/>
      <c r="N48" s="282"/>
      <c r="O48" s="283"/>
      <c r="P48" s="1167" t="s">
        <v>304</v>
      </c>
      <c r="Q48" s="1167"/>
      <c r="R48" s="1167"/>
      <c r="S48" s="1168"/>
      <c r="T48" s="272"/>
      <c r="U48" s="283"/>
      <c r="V48" s="1167" t="s">
        <v>304</v>
      </c>
      <c r="W48" s="1167"/>
      <c r="X48" s="1167"/>
      <c r="Y48" s="1168"/>
      <c r="Z48" s="187"/>
      <c r="AA48" s="283"/>
      <c r="AB48" s="1181" t="s">
        <v>307</v>
      </c>
      <c r="AC48" s="1182"/>
      <c r="AD48" s="1182"/>
      <c r="AE48" s="1182"/>
      <c r="AF48" s="272"/>
      <c r="AG48" s="272"/>
      <c r="AH48" s="284"/>
      <c r="AI48" s="143"/>
    </row>
    <row r="49" spans="1:41" ht="3" customHeight="1">
      <c r="A49" s="1175"/>
      <c r="B49" s="1176"/>
      <c r="C49" s="1176"/>
      <c r="D49" s="1176"/>
      <c r="E49" s="1176"/>
      <c r="F49" s="1176"/>
      <c r="G49" s="1177"/>
      <c r="H49" s="282"/>
      <c r="I49" s="285"/>
      <c r="J49" s="285"/>
      <c r="K49" s="285"/>
      <c r="L49" s="285"/>
      <c r="M49" s="286"/>
      <c r="N49" s="282"/>
      <c r="O49" s="285"/>
      <c r="P49" s="285"/>
      <c r="Q49" s="285"/>
      <c r="R49" s="285"/>
      <c r="S49" s="286"/>
      <c r="T49" s="272"/>
      <c r="U49" s="285"/>
      <c r="V49" s="285"/>
      <c r="W49" s="285"/>
      <c r="X49" s="285"/>
      <c r="Y49" s="286"/>
      <c r="Z49" s="187"/>
      <c r="AA49" s="285"/>
      <c r="AB49" s="287"/>
      <c r="AC49" s="287"/>
      <c r="AD49" s="287"/>
      <c r="AE49" s="287"/>
      <c r="AF49" s="272"/>
      <c r="AG49" s="272"/>
      <c r="AH49" s="284"/>
      <c r="AI49" s="143"/>
    </row>
    <row r="50" spans="1:41" ht="15" customHeight="1">
      <c r="A50" s="1175"/>
      <c r="B50" s="1176"/>
      <c r="C50" s="1176"/>
      <c r="D50" s="1176"/>
      <c r="E50" s="1176"/>
      <c r="F50" s="1176"/>
      <c r="G50" s="1177"/>
      <c r="H50" s="282"/>
      <c r="I50" s="283"/>
      <c r="J50" s="1167" t="s">
        <v>305</v>
      </c>
      <c r="K50" s="1167"/>
      <c r="L50" s="1167"/>
      <c r="M50" s="1168"/>
      <c r="N50" s="282"/>
      <c r="O50" s="283"/>
      <c r="P50" s="1167" t="s">
        <v>305</v>
      </c>
      <c r="Q50" s="1167"/>
      <c r="R50" s="1167"/>
      <c r="S50" s="1168"/>
      <c r="T50" s="272"/>
      <c r="U50" s="283"/>
      <c r="V50" s="1167" t="s">
        <v>305</v>
      </c>
      <c r="W50" s="1167"/>
      <c r="X50" s="1167"/>
      <c r="Y50" s="1168"/>
      <c r="Z50" s="187"/>
      <c r="AA50" s="283"/>
      <c r="AB50" s="1181" t="s">
        <v>308</v>
      </c>
      <c r="AC50" s="1182"/>
      <c r="AD50" s="1182"/>
      <c r="AE50" s="1182"/>
      <c r="AF50" s="272"/>
      <c r="AG50" s="272"/>
      <c r="AH50" s="284"/>
      <c r="AI50" s="143"/>
    </row>
    <row r="51" spans="1:41" ht="3" customHeight="1">
      <c r="A51" s="1175"/>
      <c r="B51" s="1176"/>
      <c r="C51" s="1176"/>
      <c r="D51" s="1176"/>
      <c r="E51" s="1176"/>
      <c r="F51" s="1176"/>
      <c r="G51" s="1177"/>
      <c r="H51" s="282"/>
      <c r="I51" s="285"/>
      <c r="J51" s="285"/>
      <c r="K51" s="285"/>
      <c r="L51" s="285"/>
      <c r="M51" s="286"/>
      <c r="N51" s="282"/>
      <c r="O51" s="285"/>
      <c r="P51" s="285"/>
      <c r="Q51" s="285"/>
      <c r="R51" s="285"/>
      <c r="S51" s="286"/>
      <c r="T51" s="272"/>
      <c r="U51" s="285"/>
      <c r="V51" s="285"/>
      <c r="W51" s="285"/>
      <c r="X51" s="285"/>
      <c r="Y51" s="286"/>
      <c r="Z51" s="187"/>
      <c r="AA51" s="285"/>
      <c r="AB51" s="287"/>
      <c r="AC51" s="287"/>
      <c r="AD51" s="287"/>
      <c r="AE51" s="287"/>
      <c r="AF51" s="272"/>
      <c r="AG51" s="272"/>
      <c r="AH51" s="284"/>
      <c r="AI51" s="143"/>
    </row>
    <row r="52" spans="1:41" ht="15" customHeight="1">
      <c r="A52" s="1175"/>
      <c r="B52" s="1176"/>
      <c r="C52" s="1176"/>
      <c r="D52" s="1176"/>
      <c r="E52" s="1176"/>
      <c r="F52" s="1176"/>
      <c r="G52" s="1177"/>
      <c r="H52" s="282"/>
      <c r="I52" s="283"/>
      <c r="J52" s="1167" t="s">
        <v>306</v>
      </c>
      <c r="K52" s="1167"/>
      <c r="L52" s="1167"/>
      <c r="M52" s="1168"/>
      <c r="N52" s="282"/>
      <c r="O52" s="283"/>
      <c r="P52" s="1167" t="s">
        <v>306</v>
      </c>
      <c r="Q52" s="1167"/>
      <c r="R52" s="1167"/>
      <c r="S52" s="1168"/>
      <c r="T52" s="272"/>
      <c r="U52" s="283"/>
      <c r="V52" s="1167" t="s">
        <v>306</v>
      </c>
      <c r="W52" s="1167"/>
      <c r="X52" s="1167"/>
      <c r="Y52" s="1168"/>
      <c r="Z52" s="187"/>
      <c r="AA52" s="283"/>
      <c r="AB52" s="1181" t="s">
        <v>309</v>
      </c>
      <c r="AC52" s="1182"/>
      <c r="AD52" s="1182"/>
      <c r="AE52" s="1182"/>
      <c r="AF52" s="272"/>
      <c r="AG52" s="272"/>
      <c r="AH52" s="284"/>
      <c r="AI52" s="143"/>
    </row>
    <row r="53" spans="1:41" ht="3" customHeight="1">
      <c r="A53" s="1175"/>
      <c r="B53" s="1176"/>
      <c r="C53" s="1176"/>
      <c r="D53" s="1176"/>
      <c r="E53" s="1176"/>
      <c r="F53" s="1176"/>
      <c r="G53" s="1177"/>
      <c r="H53" s="282"/>
      <c r="I53" s="285"/>
      <c r="J53" s="285"/>
      <c r="K53" s="285"/>
      <c r="L53" s="285"/>
      <c r="M53" s="286"/>
      <c r="N53" s="282"/>
      <c r="O53" s="285"/>
      <c r="P53" s="285"/>
      <c r="Q53" s="285"/>
      <c r="R53" s="285"/>
      <c r="S53" s="286"/>
      <c r="T53" s="272"/>
      <c r="U53" s="285"/>
      <c r="V53" s="285"/>
      <c r="W53" s="285"/>
      <c r="X53" s="285"/>
      <c r="Y53" s="286"/>
      <c r="Z53" s="187"/>
      <c r="AA53" s="285"/>
      <c r="AB53" s="285"/>
      <c r="AC53" s="285"/>
      <c r="AD53" s="285"/>
      <c r="AE53" s="285"/>
      <c r="AF53" s="272"/>
      <c r="AG53" s="272"/>
      <c r="AH53" s="284"/>
      <c r="AI53" s="143"/>
    </row>
    <row r="54" spans="1:41" ht="15" customHeight="1" thickBot="1">
      <c r="A54" s="1175"/>
      <c r="B54" s="1176"/>
      <c r="C54" s="1176"/>
      <c r="D54" s="1176"/>
      <c r="E54" s="1176"/>
      <c r="F54" s="1176"/>
      <c r="G54" s="1177"/>
      <c r="H54" s="282"/>
      <c r="I54" s="283"/>
      <c r="J54" s="1167" t="s">
        <v>6</v>
      </c>
      <c r="K54" s="1167"/>
      <c r="L54" s="1167"/>
      <c r="M54" s="1168"/>
      <c r="N54" s="282"/>
      <c r="O54" s="283"/>
      <c r="P54" s="1167" t="s">
        <v>6</v>
      </c>
      <c r="Q54" s="1167"/>
      <c r="R54" s="1167"/>
      <c r="S54" s="1168"/>
      <c r="T54" s="272"/>
      <c r="U54" s="283"/>
      <c r="V54" s="1167" t="s">
        <v>6</v>
      </c>
      <c r="W54" s="1167"/>
      <c r="X54" s="1167"/>
      <c r="Y54" s="1168"/>
      <c r="Z54" s="1169" t="s">
        <v>310</v>
      </c>
      <c r="AA54" s="1170"/>
      <c r="AB54" s="1170"/>
      <c r="AC54" s="1170"/>
      <c r="AD54" s="1170"/>
      <c r="AE54" s="1170"/>
      <c r="AF54" s="1170"/>
      <c r="AG54" s="1170"/>
      <c r="AH54" s="1171"/>
      <c r="AI54" s="143"/>
    </row>
    <row r="55" spans="1:41" ht="3" customHeight="1" thickBot="1">
      <c r="A55" s="1175"/>
      <c r="B55" s="1176"/>
      <c r="C55" s="1176"/>
      <c r="D55" s="1176"/>
      <c r="E55" s="1176"/>
      <c r="F55" s="1176"/>
      <c r="G55" s="1177"/>
      <c r="H55" s="282"/>
      <c r="I55" s="285"/>
      <c r="J55" s="296"/>
      <c r="K55" s="296"/>
      <c r="L55" s="296"/>
      <c r="M55" s="297"/>
      <c r="N55" s="282"/>
      <c r="O55" s="285"/>
      <c r="P55" s="296"/>
      <c r="Q55" s="296"/>
      <c r="R55" s="296"/>
      <c r="S55" s="297"/>
      <c r="T55" s="271"/>
      <c r="U55" s="272"/>
      <c r="V55" s="295"/>
      <c r="W55" s="295"/>
      <c r="X55" s="295"/>
      <c r="Y55" s="298"/>
      <c r="Z55" s="187"/>
      <c r="AA55" s="272"/>
      <c r="AB55" s="272"/>
      <c r="AC55" s="295"/>
      <c r="AD55" s="295"/>
      <c r="AE55" s="295"/>
      <c r="AF55" s="295"/>
      <c r="AG55" s="295"/>
      <c r="AH55" s="298"/>
      <c r="AI55" s="143"/>
      <c r="AK55" s="200" t="b">
        <v>0</v>
      </c>
      <c r="AL55" s="200" t="b">
        <v>0</v>
      </c>
      <c r="AM55" s="200" t="b">
        <v>0</v>
      </c>
      <c r="AO55" s="200" t="b">
        <v>0</v>
      </c>
    </row>
    <row r="56" spans="1:41" ht="3" customHeight="1">
      <c r="A56" s="1172"/>
      <c r="B56" s="1173"/>
      <c r="C56" s="1173"/>
      <c r="D56" s="1173"/>
      <c r="E56" s="1173"/>
      <c r="F56" s="1173"/>
      <c r="G56" s="1174"/>
      <c r="H56" s="299"/>
      <c r="I56" s="300"/>
      <c r="J56" s="300"/>
      <c r="K56" s="300"/>
      <c r="L56" s="300"/>
      <c r="M56" s="301"/>
      <c r="N56" s="299"/>
      <c r="O56" s="300"/>
      <c r="P56" s="300"/>
      <c r="Q56" s="300"/>
      <c r="R56" s="300"/>
      <c r="S56" s="301"/>
      <c r="T56" s="270"/>
      <c r="U56" s="270"/>
      <c r="V56" s="270"/>
      <c r="W56" s="270"/>
      <c r="X56" s="270"/>
      <c r="Y56" s="302"/>
      <c r="Z56" s="303"/>
      <c r="AA56" s="270"/>
      <c r="AB56" s="270"/>
      <c r="AC56" s="270"/>
      <c r="AD56" s="270"/>
      <c r="AE56" s="270"/>
      <c r="AF56" s="270"/>
      <c r="AG56" s="270"/>
      <c r="AH56" s="302"/>
      <c r="AI56" s="143"/>
    </row>
    <row r="57" spans="1:41" ht="15" customHeight="1">
      <c r="A57" s="1175"/>
      <c r="B57" s="1176"/>
      <c r="C57" s="1176"/>
      <c r="D57" s="1176"/>
      <c r="E57" s="1176"/>
      <c r="F57" s="1176"/>
      <c r="G57" s="1177"/>
      <c r="H57" s="282"/>
      <c r="I57" s="283"/>
      <c r="J57" s="1167" t="s">
        <v>304</v>
      </c>
      <c r="K57" s="1167"/>
      <c r="L57" s="1167"/>
      <c r="M57" s="1168"/>
      <c r="N57" s="282"/>
      <c r="O57" s="283"/>
      <c r="P57" s="1167" t="s">
        <v>304</v>
      </c>
      <c r="Q57" s="1167"/>
      <c r="R57" s="1167"/>
      <c r="S57" s="1168"/>
      <c r="T57" s="272"/>
      <c r="U57" s="283"/>
      <c r="V57" s="1167" t="s">
        <v>304</v>
      </c>
      <c r="W57" s="1167"/>
      <c r="X57" s="1167"/>
      <c r="Y57" s="1168"/>
      <c r="Z57" s="187"/>
      <c r="AA57" s="283"/>
      <c r="AB57" s="1181" t="s">
        <v>307</v>
      </c>
      <c r="AC57" s="1182"/>
      <c r="AD57" s="1182"/>
      <c r="AE57" s="1182"/>
      <c r="AF57" s="272"/>
      <c r="AG57" s="272"/>
      <c r="AH57" s="284"/>
      <c r="AI57" s="143"/>
    </row>
    <row r="58" spans="1:41" ht="3" customHeight="1">
      <c r="A58" s="1175"/>
      <c r="B58" s="1176"/>
      <c r="C58" s="1176"/>
      <c r="D58" s="1176"/>
      <c r="E58" s="1176"/>
      <c r="F58" s="1176"/>
      <c r="G58" s="1177"/>
      <c r="H58" s="282"/>
      <c r="I58" s="285"/>
      <c r="J58" s="285"/>
      <c r="K58" s="285"/>
      <c r="L58" s="285"/>
      <c r="M58" s="286"/>
      <c r="N58" s="282"/>
      <c r="O58" s="285"/>
      <c r="P58" s="285"/>
      <c r="Q58" s="285"/>
      <c r="R58" s="285"/>
      <c r="S58" s="286"/>
      <c r="T58" s="272"/>
      <c r="U58" s="285"/>
      <c r="V58" s="285"/>
      <c r="W58" s="285"/>
      <c r="X58" s="285"/>
      <c r="Y58" s="286"/>
      <c r="Z58" s="187"/>
      <c r="AA58" s="285"/>
      <c r="AB58" s="287"/>
      <c r="AC58" s="287"/>
      <c r="AD58" s="287"/>
      <c r="AE58" s="287"/>
      <c r="AF58" s="272"/>
      <c r="AG58" s="272"/>
      <c r="AH58" s="284"/>
      <c r="AI58" s="143"/>
    </row>
    <row r="59" spans="1:41" ht="15" customHeight="1">
      <c r="A59" s="1175"/>
      <c r="B59" s="1176"/>
      <c r="C59" s="1176"/>
      <c r="D59" s="1176"/>
      <c r="E59" s="1176"/>
      <c r="F59" s="1176"/>
      <c r="G59" s="1177"/>
      <c r="H59" s="282"/>
      <c r="I59" s="283"/>
      <c r="J59" s="1167" t="s">
        <v>305</v>
      </c>
      <c r="K59" s="1167"/>
      <c r="L59" s="1167"/>
      <c r="M59" s="1168"/>
      <c r="N59" s="282"/>
      <c r="O59" s="283"/>
      <c r="P59" s="1167" t="s">
        <v>305</v>
      </c>
      <c r="Q59" s="1167"/>
      <c r="R59" s="1167"/>
      <c r="S59" s="1168"/>
      <c r="T59" s="272"/>
      <c r="U59" s="283"/>
      <c r="V59" s="1167" t="s">
        <v>305</v>
      </c>
      <c r="W59" s="1167"/>
      <c r="X59" s="1167"/>
      <c r="Y59" s="1168"/>
      <c r="Z59" s="187"/>
      <c r="AA59" s="283"/>
      <c r="AB59" s="1181" t="s">
        <v>308</v>
      </c>
      <c r="AC59" s="1182"/>
      <c r="AD59" s="1182"/>
      <c r="AE59" s="1182"/>
      <c r="AF59" s="272"/>
      <c r="AG59" s="272"/>
      <c r="AH59" s="284"/>
      <c r="AI59" s="143"/>
    </row>
    <row r="60" spans="1:41" ht="3" customHeight="1">
      <c r="A60" s="1175"/>
      <c r="B60" s="1176"/>
      <c r="C60" s="1176"/>
      <c r="D60" s="1176"/>
      <c r="E60" s="1176"/>
      <c r="F60" s="1176"/>
      <c r="G60" s="1177"/>
      <c r="H60" s="282"/>
      <c r="I60" s="285"/>
      <c r="J60" s="285"/>
      <c r="K60" s="285"/>
      <c r="L60" s="285"/>
      <c r="M60" s="286"/>
      <c r="N60" s="282"/>
      <c r="O60" s="285"/>
      <c r="P60" s="285"/>
      <c r="Q60" s="285"/>
      <c r="R60" s="285"/>
      <c r="S60" s="286"/>
      <c r="T60" s="272"/>
      <c r="U60" s="285"/>
      <c r="V60" s="285"/>
      <c r="W60" s="285"/>
      <c r="X60" s="285"/>
      <c r="Y60" s="286"/>
      <c r="Z60" s="187"/>
      <c r="AA60" s="285"/>
      <c r="AB60" s="287"/>
      <c r="AC60" s="287"/>
      <c r="AD60" s="287"/>
      <c r="AE60" s="287"/>
      <c r="AF60" s="272"/>
      <c r="AG60" s="272"/>
      <c r="AH60" s="284"/>
      <c r="AI60" s="143"/>
    </row>
    <row r="61" spans="1:41" ht="15" customHeight="1">
      <c r="A61" s="1175"/>
      <c r="B61" s="1176"/>
      <c r="C61" s="1176"/>
      <c r="D61" s="1176"/>
      <c r="E61" s="1176"/>
      <c r="F61" s="1176"/>
      <c r="G61" s="1177"/>
      <c r="H61" s="282"/>
      <c r="I61" s="283"/>
      <c r="J61" s="1167" t="s">
        <v>306</v>
      </c>
      <c r="K61" s="1167"/>
      <c r="L61" s="1167"/>
      <c r="M61" s="1168"/>
      <c r="N61" s="282"/>
      <c r="O61" s="283"/>
      <c r="P61" s="1167" t="s">
        <v>306</v>
      </c>
      <c r="Q61" s="1167"/>
      <c r="R61" s="1167"/>
      <c r="S61" s="1168"/>
      <c r="T61" s="272"/>
      <c r="U61" s="283"/>
      <c r="V61" s="1167" t="s">
        <v>306</v>
      </c>
      <c r="W61" s="1167"/>
      <c r="X61" s="1167"/>
      <c r="Y61" s="1168"/>
      <c r="Z61" s="187"/>
      <c r="AA61" s="283"/>
      <c r="AB61" s="1181" t="s">
        <v>309</v>
      </c>
      <c r="AC61" s="1182"/>
      <c r="AD61" s="1182"/>
      <c r="AE61" s="1182"/>
      <c r="AF61" s="272"/>
      <c r="AG61" s="272"/>
      <c r="AH61" s="284"/>
      <c r="AI61" s="143"/>
    </row>
    <row r="62" spans="1:41" ht="3" customHeight="1">
      <c r="A62" s="1175"/>
      <c r="B62" s="1176"/>
      <c r="C62" s="1176"/>
      <c r="D62" s="1176"/>
      <c r="E62" s="1176"/>
      <c r="F62" s="1176"/>
      <c r="G62" s="1177"/>
      <c r="H62" s="282"/>
      <c r="I62" s="285"/>
      <c r="J62" s="285"/>
      <c r="K62" s="285"/>
      <c r="L62" s="285"/>
      <c r="M62" s="286"/>
      <c r="N62" s="282"/>
      <c r="O62" s="285"/>
      <c r="P62" s="285"/>
      <c r="Q62" s="285"/>
      <c r="R62" s="285"/>
      <c r="S62" s="286"/>
      <c r="T62" s="272"/>
      <c r="U62" s="285"/>
      <c r="V62" s="285"/>
      <c r="W62" s="285"/>
      <c r="X62" s="285"/>
      <c r="Y62" s="286"/>
      <c r="Z62" s="187"/>
      <c r="AA62" s="285"/>
      <c r="AB62" s="285"/>
      <c r="AC62" s="285"/>
      <c r="AD62" s="285"/>
      <c r="AE62" s="285"/>
      <c r="AF62" s="272"/>
      <c r="AG62" s="272"/>
      <c r="AH62" s="284"/>
      <c r="AI62" s="143"/>
    </row>
    <row r="63" spans="1:41" ht="15" customHeight="1" thickBot="1">
      <c r="A63" s="1175"/>
      <c r="B63" s="1176"/>
      <c r="C63" s="1176"/>
      <c r="D63" s="1176"/>
      <c r="E63" s="1176"/>
      <c r="F63" s="1176"/>
      <c r="G63" s="1177"/>
      <c r="H63" s="282"/>
      <c r="I63" s="283"/>
      <c r="J63" s="1167" t="s">
        <v>6</v>
      </c>
      <c r="K63" s="1167"/>
      <c r="L63" s="1167"/>
      <c r="M63" s="1168"/>
      <c r="N63" s="282"/>
      <c r="O63" s="283"/>
      <c r="P63" s="1167" t="s">
        <v>6</v>
      </c>
      <c r="Q63" s="1167"/>
      <c r="R63" s="1167"/>
      <c r="S63" s="1168"/>
      <c r="T63" s="272"/>
      <c r="U63" s="283"/>
      <c r="V63" s="1167" t="s">
        <v>6</v>
      </c>
      <c r="W63" s="1167"/>
      <c r="X63" s="1167"/>
      <c r="Y63" s="1168"/>
      <c r="Z63" s="1169" t="s">
        <v>310</v>
      </c>
      <c r="AA63" s="1170"/>
      <c r="AB63" s="1170"/>
      <c r="AC63" s="1170"/>
      <c r="AD63" s="1170"/>
      <c r="AE63" s="1170"/>
      <c r="AF63" s="1170"/>
      <c r="AG63" s="1170"/>
      <c r="AH63" s="1171"/>
      <c r="AI63" s="143"/>
    </row>
    <row r="64" spans="1:41" ht="3" customHeight="1" thickBot="1">
      <c r="A64" s="1186"/>
      <c r="B64" s="1187"/>
      <c r="C64" s="1187"/>
      <c r="D64" s="1187"/>
      <c r="E64" s="1187"/>
      <c r="F64" s="1187"/>
      <c r="G64" s="1188"/>
      <c r="H64" s="288"/>
      <c r="I64" s="289"/>
      <c r="J64" s="290"/>
      <c r="K64" s="290"/>
      <c r="L64" s="290"/>
      <c r="M64" s="291"/>
      <c r="N64" s="288"/>
      <c r="O64" s="289"/>
      <c r="P64" s="290"/>
      <c r="Q64" s="290"/>
      <c r="R64" s="290"/>
      <c r="S64" s="291"/>
      <c r="T64" s="273"/>
      <c r="U64" s="274"/>
      <c r="V64" s="292"/>
      <c r="W64" s="292"/>
      <c r="X64" s="292"/>
      <c r="Y64" s="293"/>
      <c r="Z64" s="294"/>
      <c r="AA64" s="274"/>
      <c r="AB64" s="274"/>
      <c r="AC64" s="292"/>
      <c r="AD64" s="292"/>
      <c r="AE64" s="292"/>
      <c r="AF64" s="292"/>
      <c r="AG64" s="292"/>
      <c r="AH64" s="293"/>
      <c r="AI64" s="143"/>
      <c r="AK64" s="200" t="b">
        <v>0</v>
      </c>
      <c r="AL64" s="200" t="b">
        <v>0</v>
      </c>
      <c r="AM64" s="200" t="b">
        <v>0</v>
      </c>
      <c r="AO64" s="200" t="b">
        <v>0</v>
      </c>
    </row>
    <row r="65" spans="1:41" ht="3" customHeight="1">
      <c r="A65" s="1175"/>
      <c r="B65" s="1176"/>
      <c r="C65" s="1176"/>
      <c r="D65" s="1176"/>
      <c r="E65" s="1176"/>
      <c r="F65" s="1176"/>
      <c r="G65" s="1177"/>
      <c r="H65" s="282"/>
      <c r="I65" s="285"/>
      <c r="J65" s="285"/>
      <c r="K65" s="285"/>
      <c r="L65" s="285"/>
      <c r="M65" s="286"/>
      <c r="N65" s="282"/>
      <c r="O65" s="285"/>
      <c r="P65" s="285"/>
      <c r="Q65" s="285"/>
      <c r="R65" s="285"/>
      <c r="S65" s="286"/>
      <c r="T65" s="272"/>
      <c r="U65" s="272"/>
      <c r="V65" s="272"/>
      <c r="W65" s="272"/>
      <c r="X65" s="272"/>
      <c r="Y65" s="284"/>
      <c r="Z65" s="187"/>
      <c r="AA65" s="272"/>
      <c r="AB65" s="272"/>
      <c r="AC65" s="272"/>
      <c r="AD65" s="272"/>
      <c r="AE65" s="272"/>
      <c r="AF65" s="272"/>
      <c r="AG65" s="272"/>
      <c r="AH65" s="284"/>
      <c r="AI65" s="143"/>
    </row>
    <row r="66" spans="1:41" ht="15" customHeight="1">
      <c r="A66" s="1175"/>
      <c r="B66" s="1176"/>
      <c r="C66" s="1176"/>
      <c r="D66" s="1176"/>
      <c r="E66" s="1176"/>
      <c r="F66" s="1176"/>
      <c r="G66" s="1177"/>
      <c r="H66" s="282"/>
      <c r="I66" s="283"/>
      <c r="J66" s="1167" t="s">
        <v>304</v>
      </c>
      <c r="K66" s="1167"/>
      <c r="L66" s="1167"/>
      <c r="M66" s="1168"/>
      <c r="N66" s="282"/>
      <c r="O66" s="283"/>
      <c r="P66" s="1167" t="s">
        <v>304</v>
      </c>
      <c r="Q66" s="1167"/>
      <c r="R66" s="1167"/>
      <c r="S66" s="1168"/>
      <c r="T66" s="272"/>
      <c r="U66" s="283"/>
      <c r="V66" s="1167" t="s">
        <v>304</v>
      </c>
      <c r="W66" s="1167"/>
      <c r="X66" s="1167"/>
      <c r="Y66" s="1168"/>
      <c r="Z66" s="187"/>
      <c r="AA66" s="283"/>
      <c r="AB66" s="1181" t="s">
        <v>307</v>
      </c>
      <c r="AC66" s="1182"/>
      <c r="AD66" s="1182"/>
      <c r="AE66" s="1182"/>
      <c r="AF66" s="272"/>
      <c r="AG66" s="272"/>
      <c r="AH66" s="284"/>
      <c r="AI66" s="143"/>
    </row>
    <row r="67" spans="1:41" ht="3" customHeight="1">
      <c r="A67" s="1175"/>
      <c r="B67" s="1176"/>
      <c r="C67" s="1176"/>
      <c r="D67" s="1176"/>
      <c r="E67" s="1176"/>
      <c r="F67" s="1176"/>
      <c r="G67" s="1177"/>
      <c r="H67" s="282"/>
      <c r="I67" s="285"/>
      <c r="J67" s="285"/>
      <c r="K67" s="285"/>
      <c r="L67" s="285"/>
      <c r="M67" s="286"/>
      <c r="N67" s="282"/>
      <c r="O67" s="285"/>
      <c r="P67" s="285"/>
      <c r="Q67" s="285"/>
      <c r="R67" s="285"/>
      <c r="S67" s="286"/>
      <c r="T67" s="272"/>
      <c r="U67" s="285"/>
      <c r="V67" s="285"/>
      <c r="W67" s="285"/>
      <c r="X67" s="285"/>
      <c r="Y67" s="286"/>
      <c r="Z67" s="187"/>
      <c r="AA67" s="285"/>
      <c r="AB67" s="287"/>
      <c r="AC67" s="287"/>
      <c r="AD67" s="287"/>
      <c r="AE67" s="287"/>
      <c r="AF67" s="272"/>
      <c r="AG67" s="272"/>
      <c r="AH67" s="284"/>
      <c r="AI67" s="143"/>
    </row>
    <row r="68" spans="1:41" ht="15" customHeight="1">
      <c r="A68" s="1175"/>
      <c r="B68" s="1176"/>
      <c r="C68" s="1176"/>
      <c r="D68" s="1176"/>
      <c r="E68" s="1176"/>
      <c r="F68" s="1176"/>
      <c r="G68" s="1177"/>
      <c r="H68" s="282"/>
      <c r="I68" s="283"/>
      <c r="J68" s="1167" t="s">
        <v>305</v>
      </c>
      <c r="K68" s="1167"/>
      <c r="L68" s="1167"/>
      <c r="M68" s="1168"/>
      <c r="N68" s="282"/>
      <c r="O68" s="283"/>
      <c r="P68" s="1167" t="s">
        <v>305</v>
      </c>
      <c r="Q68" s="1167"/>
      <c r="R68" s="1167"/>
      <c r="S68" s="1168"/>
      <c r="T68" s="272"/>
      <c r="U68" s="283"/>
      <c r="V68" s="1167" t="s">
        <v>305</v>
      </c>
      <c r="W68" s="1167"/>
      <c r="X68" s="1167"/>
      <c r="Y68" s="1168"/>
      <c r="Z68" s="187"/>
      <c r="AA68" s="283"/>
      <c r="AB68" s="1181" t="s">
        <v>308</v>
      </c>
      <c r="AC68" s="1182"/>
      <c r="AD68" s="1182"/>
      <c r="AE68" s="1182"/>
      <c r="AF68" s="272"/>
      <c r="AG68" s="272"/>
      <c r="AH68" s="284"/>
      <c r="AI68" s="143"/>
    </row>
    <row r="69" spans="1:41" ht="3" customHeight="1">
      <c r="A69" s="1175"/>
      <c r="B69" s="1176"/>
      <c r="C69" s="1176"/>
      <c r="D69" s="1176"/>
      <c r="E69" s="1176"/>
      <c r="F69" s="1176"/>
      <c r="G69" s="1177"/>
      <c r="H69" s="282"/>
      <c r="I69" s="285"/>
      <c r="J69" s="285"/>
      <c r="K69" s="285"/>
      <c r="L69" s="285"/>
      <c r="M69" s="286"/>
      <c r="N69" s="282"/>
      <c r="O69" s="285"/>
      <c r="P69" s="285"/>
      <c r="Q69" s="285"/>
      <c r="R69" s="285"/>
      <c r="S69" s="286"/>
      <c r="T69" s="272"/>
      <c r="U69" s="285"/>
      <c r="V69" s="285"/>
      <c r="W69" s="285"/>
      <c r="X69" s="285"/>
      <c r="Y69" s="286"/>
      <c r="Z69" s="187"/>
      <c r="AA69" s="285"/>
      <c r="AB69" s="287"/>
      <c r="AC69" s="287"/>
      <c r="AD69" s="287"/>
      <c r="AE69" s="287"/>
      <c r="AF69" s="272"/>
      <c r="AG69" s="272"/>
      <c r="AH69" s="284"/>
      <c r="AI69" s="143"/>
    </row>
    <row r="70" spans="1:41" ht="15" customHeight="1">
      <c r="A70" s="1175"/>
      <c r="B70" s="1176"/>
      <c r="C70" s="1176"/>
      <c r="D70" s="1176"/>
      <c r="E70" s="1176"/>
      <c r="F70" s="1176"/>
      <c r="G70" s="1177"/>
      <c r="H70" s="282"/>
      <c r="I70" s="283"/>
      <c r="J70" s="1167" t="s">
        <v>306</v>
      </c>
      <c r="K70" s="1167"/>
      <c r="L70" s="1167"/>
      <c r="M70" s="1168"/>
      <c r="N70" s="282"/>
      <c r="O70" s="283"/>
      <c r="P70" s="1167" t="s">
        <v>306</v>
      </c>
      <c r="Q70" s="1167"/>
      <c r="R70" s="1167"/>
      <c r="S70" s="1168"/>
      <c r="T70" s="272"/>
      <c r="U70" s="283"/>
      <c r="V70" s="1167" t="s">
        <v>306</v>
      </c>
      <c r="W70" s="1167"/>
      <c r="X70" s="1167"/>
      <c r="Y70" s="1168"/>
      <c r="Z70" s="187"/>
      <c r="AA70" s="283"/>
      <c r="AB70" s="1181" t="s">
        <v>309</v>
      </c>
      <c r="AC70" s="1182"/>
      <c r="AD70" s="1182"/>
      <c r="AE70" s="1182"/>
      <c r="AF70" s="272"/>
      <c r="AG70" s="272"/>
      <c r="AH70" s="284"/>
      <c r="AI70" s="143"/>
    </row>
    <row r="71" spans="1:41" ht="3" customHeight="1">
      <c r="A71" s="1175"/>
      <c r="B71" s="1176"/>
      <c r="C71" s="1176"/>
      <c r="D71" s="1176"/>
      <c r="E71" s="1176"/>
      <c r="F71" s="1176"/>
      <c r="G71" s="1177"/>
      <c r="H71" s="282"/>
      <c r="I71" s="285"/>
      <c r="J71" s="285"/>
      <c r="K71" s="285"/>
      <c r="L71" s="285"/>
      <c r="M71" s="286"/>
      <c r="N71" s="282"/>
      <c r="O71" s="285"/>
      <c r="P71" s="285"/>
      <c r="Q71" s="285"/>
      <c r="R71" s="285"/>
      <c r="S71" s="286"/>
      <c r="T71" s="272"/>
      <c r="U71" s="285"/>
      <c r="V71" s="285"/>
      <c r="W71" s="285"/>
      <c r="X71" s="285"/>
      <c r="Y71" s="286"/>
      <c r="Z71" s="187"/>
      <c r="AA71" s="285"/>
      <c r="AB71" s="285"/>
      <c r="AC71" s="285"/>
      <c r="AD71" s="285"/>
      <c r="AE71" s="285"/>
      <c r="AF71" s="272"/>
      <c r="AG71" s="272"/>
      <c r="AH71" s="284"/>
      <c r="AI71" s="143"/>
    </row>
    <row r="72" spans="1:41" ht="15" customHeight="1" thickBot="1">
      <c r="A72" s="1175"/>
      <c r="B72" s="1176"/>
      <c r="C72" s="1176"/>
      <c r="D72" s="1176"/>
      <c r="E72" s="1176"/>
      <c r="F72" s="1176"/>
      <c r="G72" s="1177"/>
      <c r="H72" s="282"/>
      <c r="I72" s="283"/>
      <c r="J72" s="1167" t="s">
        <v>6</v>
      </c>
      <c r="K72" s="1167"/>
      <c r="L72" s="1167"/>
      <c r="M72" s="1168"/>
      <c r="N72" s="282"/>
      <c r="O72" s="283"/>
      <c r="P72" s="1167" t="s">
        <v>6</v>
      </c>
      <c r="Q72" s="1167"/>
      <c r="R72" s="1167"/>
      <c r="S72" s="1168"/>
      <c r="T72" s="272"/>
      <c r="U72" s="283"/>
      <c r="V72" s="1167" t="s">
        <v>6</v>
      </c>
      <c r="W72" s="1167"/>
      <c r="X72" s="1167"/>
      <c r="Y72" s="1168"/>
      <c r="Z72" s="1169" t="s">
        <v>310</v>
      </c>
      <c r="AA72" s="1170"/>
      <c r="AB72" s="1170"/>
      <c r="AC72" s="1170"/>
      <c r="AD72" s="1170"/>
      <c r="AE72" s="1170"/>
      <c r="AF72" s="1170"/>
      <c r="AG72" s="1170"/>
      <c r="AH72" s="1171"/>
      <c r="AI72" s="143"/>
    </row>
    <row r="73" spans="1:41" ht="3" customHeight="1" thickBot="1">
      <c r="A73" s="1175"/>
      <c r="B73" s="1176"/>
      <c r="C73" s="1176"/>
      <c r="D73" s="1176"/>
      <c r="E73" s="1176"/>
      <c r="F73" s="1176"/>
      <c r="G73" s="1177"/>
      <c r="H73" s="282"/>
      <c r="I73" s="285"/>
      <c r="J73" s="296"/>
      <c r="K73" s="296"/>
      <c r="L73" s="296"/>
      <c r="M73" s="297"/>
      <c r="N73" s="282"/>
      <c r="O73" s="285"/>
      <c r="P73" s="296"/>
      <c r="Q73" s="296"/>
      <c r="R73" s="296"/>
      <c r="S73" s="297"/>
      <c r="T73" s="271"/>
      <c r="U73" s="272"/>
      <c r="V73" s="295"/>
      <c r="W73" s="295"/>
      <c r="X73" s="295"/>
      <c r="Y73" s="298"/>
      <c r="Z73" s="187"/>
      <c r="AA73" s="272"/>
      <c r="AB73" s="272"/>
      <c r="AC73" s="295"/>
      <c r="AD73" s="295"/>
      <c r="AE73" s="295"/>
      <c r="AF73" s="295"/>
      <c r="AG73" s="295"/>
      <c r="AH73" s="298"/>
      <c r="AI73" s="143"/>
      <c r="AK73" s="200" t="b">
        <v>0</v>
      </c>
      <c r="AL73" s="200" t="b">
        <v>0</v>
      </c>
      <c r="AM73" s="200" t="b">
        <v>0</v>
      </c>
      <c r="AO73" s="200" t="b">
        <v>0</v>
      </c>
    </row>
    <row r="74" spans="1:41" ht="3" customHeight="1">
      <c r="A74" s="1172"/>
      <c r="B74" s="1173"/>
      <c r="C74" s="1173"/>
      <c r="D74" s="1173"/>
      <c r="E74" s="1173"/>
      <c r="F74" s="1173"/>
      <c r="G74" s="1174"/>
      <c r="H74" s="299"/>
      <c r="I74" s="300"/>
      <c r="J74" s="300"/>
      <c r="K74" s="300"/>
      <c r="L74" s="300"/>
      <c r="M74" s="301"/>
      <c r="N74" s="299"/>
      <c r="O74" s="300"/>
      <c r="P74" s="300"/>
      <c r="Q74" s="300"/>
      <c r="R74" s="300"/>
      <c r="S74" s="301"/>
      <c r="T74" s="270"/>
      <c r="U74" s="270"/>
      <c r="V74" s="270"/>
      <c r="W74" s="270"/>
      <c r="X74" s="270"/>
      <c r="Y74" s="302"/>
      <c r="Z74" s="303"/>
      <c r="AA74" s="270"/>
      <c r="AB74" s="270"/>
      <c r="AC74" s="270"/>
      <c r="AD74" s="270"/>
      <c r="AE74" s="270"/>
      <c r="AF74" s="270"/>
      <c r="AG74" s="270"/>
      <c r="AH74" s="302"/>
      <c r="AI74" s="143"/>
    </row>
    <row r="75" spans="1:41" ht="15" customHeight="1">
      <c r="A75" s="1175"/>
      <c r="B75" s="1176"/>
      <c r="C75" s="1176"/>
      <c r="D75" s="1176"/>
      <c r="E75" s="1176"/>
      <c r="F75" s="1176"/>
      <c r="G75" s="1177"/>
      <c r="H75" s="282"/>
      <c r="I75" s="283"/>
      <c r="J75" s="1167" t="s">
        <v>304</v>
      </c>
      <c r="K75" s="1167"/>
      <c r="L75" s="1167"/>
      <c r="M75" s="1168"/>
      <c r="N75" s="282"/>
      <c r="O75" s="283"/>
      <c r="P75" s="1167" t="s">
        <v>304</v>
      </c>
      <c r="Q75" s="1167"/>
      <c r="R75" s="1167"/>
      <c r="S75" s="1168"/>
      <c r="T75" s="272"/>
      <c r="U75" s="283"/>
      <c r="V75" s="1167" t="s">
        <v>304</v>
      </c>
      <c r="W75" s="1167"/>
      <c r="X75" s="1167"/>
      <c r="Y75" s="1168"/>
      <c r="Z75" s="187"/>
      <c r="AA75" s="283"/>
      <c r="AB75" s="1181" t="s">
        <v>307</v>
      </c>
      <c r="AC75" s="1182"/>
      <c r="AD75" s="1182"/>
      <c r="AE75" s="1182"/>
      <c r="AF75" s="272"/>
      <c r="AG75" s="272"/>
      <c r="AH75" s="284"/>
      <c r="AI75" s="143"/>
    </row>
    <row r="76" spans="1:41" ht="3" customHeight="1">
      <c r="A76" s="1175"/>
      <c r="B76" s="1176"/>
      <c r="C76" s="1176"/>
      <c r="D76" s="1176"/>
      <c r="E76" s="1176"/>
      <c r="F76" s="1176"/>
      <c r="G76" s="1177"/>
      <c r="H76" s="282"/>
      <c r="I76" s="285"/>
      <c r="J76" s="285"/>
      <c r="K76" s="285"/>
      <c r="L76" s="285"/>
      <c r="M76" s="286"/>
      <c r="N76" s="282"/>
      <c r="O76" s="285"/>
      <c r="P76" s="285"/>
      <c r="Q76" s="285"/>
      <c r="R76" s="285"/>
      <c r="S76" s="286"/>
      <c r="T76" s="272"/>
      <c r="U76" s="285"/>
      <c r="V76" s="285"/>
      <c r="W76" s="285"/>
      <c r="X76" s="285"/>
      <c r="Y76" s="286"/>
      <c r="Z76" s="187"/>
      <c r="AA76" s="285"/>
      <c r="AB76" s="287"/>
      <c r="AC76" s="287"/>
      <c r="AD76" s="287"/>
      <c r="AE76" s="287"/>
      <c r="AF76" s="272"/>
      <c r="AG76" s="272"/>
      <c r="AH76" s="284"/>
      <c r="AI76" s="143"/>
    </row>
    <row r="77" spans="1:41" ht="15" customHeight="1">
      <c r="A77" s="1175"/>
      <c r="B77" s="1176"/>
      <c r="C77" s="1176"/>
      <c r="D77" s="1176"/>
      <c r="E77" s="1176"/>
      <c r="F77" s="1176"/>
      <c r="G77" s="1177"/>
      <c r="H77" s="282"/>
      <c r="I77" s="283"/>
      <c r="J77" s="1167" t="s">
        <v>305</v>
      </c>
      <c r="K77" s="1167"/>
      <c r="L77" s="1167"/>
      <c r="M77" s="1168"/>
      <c r="N77" s="282"/>
      <c r="O77" s="283"/>
      <c r="P77" s="1167" t="s">
        <v>305</v>
      </c>
      <c r="Q77" s="1167"/>
      <c r="R77" s="1167"/>
      <c r="S77" s="1168"/>
      <c r="T77" s="272"/>
      <c r="U77" s="283"/>
      <c r="V77" s="1167" t="s">
        <v>305</v>
      </c>
      <c r="W77" s="1167"/>
      <c r="X77" s="1167"/>
      <c r="Y77" s="1168"/>
      <c r="Z77" s="187"/>
      <c r="AA77" s="283"/>
      <c r="AB77" s="1181" t="s">
        <v>308</v>
      </c>
      <c r="AC77" s="1182"/>
      <c r="AD77" s="1182"/>
      <c r="AE77" s="1182"/>
      <c r="AF77" s="272"/>
      <c r="AG77" s="272"/>
      <c r="AH77" s="284"/>
      <c r="AI77" s="143"/>
    </row>
    <row r="78" spans="1:41" ht="3" customHeight="1">
      <c r="A78" s="1175"/>
      <c r="B78" s="1176"/>
      <c r="C78" s="1176"/>
      <c r="D78" s="1176"/>
      <c r="E78" s="1176"/>
      <c r="F78" s="1176"/>
      <c r="G78" s="1177"/>
      <c r="H78" s="282"/>
      <c r="I78" s="285"/>
      <c r="J78" s="285"/>
      <c r="K78" s="285"/>
      <c r="L78" s="285"/>
      <c r="M78" s="286"/>
      <c r="N78" s="282"/>
      <c r="O78" s="285"/>
      <c r="P78" s="285"/>
      <c r="Q78" s="285"/>
      <c r="R78" s="285"/>
      <c r="S78" s="286"/>
      <c r="T78" s="272"/>
      <c r="U78" s="285"/>
      <c r="V78" s="285"/>
      <c r="W78" s="285"/>
      <c r="X78" s="285"/>
      <c r="Y78" s="286"/>
      <c r="Z78" s="187"/>
      <c r="AA78" s="285"/>
      <c r="AB78" s="287"/>
      <c r="AC78" s="287"/>
      <c r="AD78" s="287"/>
      <c r="AE78" s="287"/>
      <c r="AF78" s="272"/>
      <c r="AG78" s="272"/>
      <c r="AH78" s="284"/>
      <c r="AI78" s="143"/>
    </row>
    <row r="79" spans="1:41" ht="15" customHeight="1">
      <c r="A79" s="1175"/>
      <c r="B79" s="1176"/>
      <c r="C79" s="1176"/>
      <c r="D79" s="1176"/>
      <c r="E79" s="1176"/>
      <c r="F79" s="1176"/>
      <c r="G79" s="1177"/>
      <c r="H79" s="282"/>
      <c r="I79" s="283"/>
      <c r="J79" s="1167" t="s">
        <v>306</v>
      </c>
      <c r="K79" s="1167"/>
      <c r="L79" s="1167"/>
      <c r="M79" s="1168"/>
      <c r="N79" s="282"/>
      <c r="O79" s="283"/>
      <c r="P79" s="1167" t="s">
        <v>306</v>
      </c>
      <c r="Q79" s="1167"/>
      <c r="R79" s="1167"/>
      <c r="S79" s="1168"/>
      <c r="T79" s="272"/>
      <c r="U79" s="283"/>
      <c r="V79" s="1167" t="s">
        <v>306</v>
      </c>
      <c r="W79" s="1167"/>
      <c r="X79" s="1167"/>
      <c r="Y79" s="1168"/>
      <c r="Z79" s="187"/>
      <c r="AA79" s="283"/>
      <c r="AB79" s="1181" t="s">
        <v>309</v>
      </c>
      <c r="AC79" s="1182"/>
      <c r="AD79" s="1182"/>
      <c r="AE79" s="1182"/>
      <c r="AF79" s="272"/>
      <c r="AG79" s="272"/>
      <c r="AH79" s="284"/>
      <c r="AI79" s="143"/>
    </row>
    <row r="80" spans="1:41" ht="3" customHeight="1">
      <c r="A80" s="1175"/>
      <c r="B80" s="1176"/>
      <c r="C80" s="1176"/>
      <c r="D80" s="1176"/>
      <c r="E80" s="1176"/>
      <c r="F80" s="1176"/>
      <c r="G80" s="1177"/>
      <c r="H80" s="282"/>
      <c r="I80" s="285"/>
      <c r="J80" s="285"/>
      <c r="K80" s="285"/>
      <c r="L80" s="285"/>
      <c r="M80" s="286"/>
      <c r="N80" s="282"/>
      <c r="O80" s="285"/>
      <c r="P80" s="285"/>
      <c r="Q80" s="285"/>
      <c r="R80" s="285"/>
      <c r="S80" s="286"/>
      <c r="T80" s="272"/>
      <c r="U80" s="285"/>
      <c r="V80" s="285"/>
      <c r="W80" s="285"/>
      <c r="X80" s="285"/>
      <c r="Y80" s="286"/>
      <c r="Z80" s="187"/>
      <c r="AA80" s="285"/>
      <c r="AB80" s="285"/>
      <c r="AC80" s="285"/>
      <c r="AD80" s="285"/>
      <c r="AE80" s="285"/>
      <c r="AF80" s="272"/>
      <c r="AG80" s="272"/>
      <c r="AH80" s="284"/>
      <c r="AI80" s="143"/>
    </row>
    <row r="81" spans="1:41" ht="15" customHeight="1" thickBot="1">
      <c r="A81" s="1175"/>
      <c r="B81" s="1176"/>
      <c r="C81" s="1176"/>
      <c r="D81" s="1176"/>
      <c r="E81" s="1176"/>
      <c r="F81" s="1176"/>
      <c r="G81" s="1177"/>
      <c r="H81" s="282"/>
      <c r="I81" s="283"/>
      <c r="J81" s="1167" t="s">
        <v>6</v>
      </c>
      <c r="K81" s="1167"/>
      <c r="L81" s="1167"/>
      <c r="M81" s="1168"/>
      <c r="N81" s="282"/>
      <c r="O81" s="283"/>
      <c r="P81" s="1167" t="s">
        <v>6</v>
      </c>
      <c r="Q81" s="1167"/>
      <c r="R81" s="1167"/>
      <c r="S81" s="1168"/>
      <c r="T81" s="272"/>
      <c r="U81" s="283"/>
      <c r="V81" s="1167" t="s">
        <v>6</v>
      </c>
      <c r="W81" s="1167"/>
      <c r="X81" s="1167"/>
      <c r="Y81" s="1168"/>
      <c r="Z81" s="1169" t="s">
        <v>310</v>
      </c>
      <c r="AA81" s="1170"/>
      <c r="AB81" s="1170"/>
      <c r="AC81" s="1170"/>
      <c r="AD81" s="1170"/>
      <c r="AE81" s="1170"/>
      <c r="AF81" s="1170"/>
      <c r="AG81" s="1170"/>
      <c r="AH81" s="1171"/>
      <c r="AI81" s="143"/>
    </row>
    <row r="82" spans="1:41" ht="3" customHeight="1" thickBot="1">
      <c r="A82" s="1178"/>
      <c r="B82" s="1179"/>
      <c r="C82" s="1179"/>
      <c r="D82" s="1179"/>
      <c r="E82" s="1179"/>
      <c r="F82" s="1179"/>
      <c r="G82" s="1180"/>
      <c r="H82" s="304"/>
      <c r="I82" s="305"/>
      <c r="J82" s="306"/>
      <c r="K82" s="306"/>
      <c r="L82" s="306"/>
      <c r="M82" s="307"/>
      <c r="N82" s="304"/>
      <c r="O82" s="305"/>
      <c r="P82" s="306"/>
      <c r="Q82" s="306"/>
      <c r="R82" s="306"/>
      <c r="S82" s="307"/>
      <c r="T82" s="308"/>
      <c r="U82" s="309"/>
      <c r="V82" s="310"/>
      <c r="W82" s="310"/>
      <c r="X82" s="310"/>
      <c r="Y82" s="311"/>
      <c r="Z82" s="312"/>
      <c r="AA82" s="309"/>
      <c r="AB82" s="309"/>
      <c r="AC82" s="310"/>
      <c r="AD82" s="310"/>
      <c r="AE82" s="310"/>
      <c r="AF82" s="310"/>
      <c r="AG82" s="310"/>
      <c r="AH82" s="311"/>
      <c r="AI82" s="143"/>
      <c r="AK82" s="200" t="b">
        <v>0</v>
      </c>
      <c r="AL82" s="200" t="b">
        <v>0</v>
      </c>
      <c r="AM82" s="200" t="b">
        <v>0</v>
      </c>
      <c r="AO82" s="200" t="b">
        <v>0</v>
      </c>
    </row>
    <row r="83" spans="1:41" ht="3" customHeight="1">
      <c r="A83" s="1189" t="str">
        <f>IF(X2&lt;&gt;"","令和 　 年　  月　　日","")</f>
        <v/>
      </c>
      <c r="B83" s="1189"/>
      <c r="C83" s="1189"/>
      <c r="D83" s="1189"/>
      <c r="E83" s="1189"/>
      <c r="F83" s="1189"/>
      <c r="G83" s="1189"/>
      <c r="H83" s="1189"/>
      <c r="I83" s="1189"/>
      <c r="J83" s="192"/>
      <c r="K83" s="192"/>
      <c r="L83" s="462" t="str">
        <f>IF(X2&lt;&gt;"","東北大学百周年記念会館長　　　印","")</f>
        <v/>
      </c>
      <c r="M83" s="462"/>
      <c r="N83" s="462"/>
      <c r="O83" s="462"/>
      <c r="P83" s="462"/>
      <c r="Q83" s="462"/>
      <c r="R83" s="462"/>
      <c r="S83" s="462"/>
      <c r="T83" s="462"/>
      <c r="U83" s="462"/>
      <c r="V83" s="462"/>
      <c r="W83" s="462"/>
      <c r="X83" s="462"/>
      <c r="Y83" s="462"/>
      <c r="Z83" s="462"/>
      <c r="AA83" s="462"/>
      <c r="AB83" s="462"/>
      <c r="AC83" s="462"/>
      <c r="AD83" s="462"/>
      <c r="AE83" s="462"/>
      <c r="AF83" s="462"/>
      <c r="AG83" s="462"/>
      <c r="AH83" s="462"/>
      <c r="AI83" s="143"/>
    </row>
    <row r="84" spans="1:41">
      <c r="A84" s="192"/>
      <c r="B84" s="192"/>
      <c r="C84" s="192"/>
      <c r="D84" s="192"/>
      <c r="E84" s="192"/>
      <c r="F84" s="192"/>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43"/>
    </row>
    <row r="85" spans="1:41">
      <c r="A85" s="192"/>
      <c r="B85" s="192"/>
      <c r="C85" s="192"/>
      <c r="D85" s="192"/>
      <c r="E85" s="192"/>
      <c r="F85" s="192"/>
      <c r="G85" s="192"/>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H85" s="192"/>
      <c r="AI85" s="143"/>
    </row>
    <row r="86" spans="1:41" ht="59.25" customHeight="1" thickBot="1">
      <c r="A86" s="192"/>
      <c r="B86" s="192"/>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43"/>
    </row>
    <row r="87" spans="1:41" ht="15" thickBot="1">
      <c r="A87" s="656" t="s">
        <v>276</v>
      </c>
      <c r="B87" s="657"/>
      <c r="C87" s="657"/>
      <c r="D87" s="657"/>
      <c r="E87" s="657"/>
      <c r="F87" s="657"/>
      <c r="G87" s="657"/>
      <c r="H87" s="657"/>
      <c r="I87" s="657"/>
      <c r="J87" s="657"/>
      <c r="K87" s="657"/>
      <c r="L87" s="657"/>
      <c r="M87" s="657"/>
      <c r="N87" s="657"/>
      <c r="O87" s="657"/>
      <c r="P87" s="657"/>
      <c r="Q87" s="657"/>
      <c r="R87" s="657"/>
      <c r="S87" s="657"/>
      <c r="T87" s="657"/>
      <c r="U87" s="657"/>
      <c r="V87" s="657"/>
      <c r="W87" s="657"/>
      <c r="X87" s="657"/>
      <c r="Y87" s="657"/>
      <c r="Z87" s="657"/>
      <c r="AA87" s="657"/>
      <c r="AB87" s="657"/>
      <c r="AC87" s="657"/>
      <c r="AD87" s="657"/>
      <c r="AE87" s="657"/>
      <c r="AF87" s="657"/>
      <c r="AG87" s="657"/>
      <c r="AH87" s="658"/>
      <c r="AI87" s="143"/>
    </row>
    <row r="88" spans="1:41" s="202" customFormat="1" ht="12" customHeight="1" thickTop="1">
      <c r="A88" s="151">
        <v>1</v>
      </c>
      <c r="B88" s="1165" t="s">
        <v>191</v>
      </c>
      <c r="C88" s="1165"/>
      <c r="D88" s="1165"/>
      <c r="E88" s="1165"/>
      <c r="F88" s="1165"/>
      <c r="G88" s="1165"/>
      <c r="H88" s="1165"/>
      <c r="I88" s="1165"/>
      <c r="J88" s="1165"/>
      <c r="K88" s="1165"/>
      <c r="L88" s="1165"/>
      <c r="M88" s="1165"/>
      <c r="N88" s="1165"/>
      <c r="O88" s="1165"/>
      <c r="P88" s="1165"/>
      <c r="Q88" s="1165"/>
      <c r="R88" s="1165"/>
      <c r="S88" s="1165"/>
      <c r="T88" s="1165"/>
      <c r="U88" s="1165"/>
      <c r="V88" s="1165"/>
      <c r="W88" s="1165"/>
      <c r="X88" s="1165"/>
      <c r="Y88" s="1165"/>
      <c r="Z88" s="1165"/>
      <c r="AA88" s="1165"/>
      <c r="AB88" s="1165"/>
      <c r="AC88" s="1165"/>
      <c r="AD88" s="1165"/>
      <c r="AE88" s="1165"/>
      <c r="AF88" s="1165"/>
      <c r="AG88" s="1165"/>
      <c r="AH88" s="1166"/>
      <c r="AI88" s="357"/>
      <c r="AJ88" s="152"/>
    </row>
    <row r="89" spans="1:41" s="202" customFormat="1" ht="11.25">
      <c r="A89" s="151"/>
      <c r="B89" s="450"/>
      <c r="C89" s="450"/>
      <c r="D89" s="450"/>
      <c r="E89" s="450"/>
      <c r="F89" s="450"/>
      <c r="G89" s="450"/>
      <c r="H89" s="450"/>
      <c r="I89" s="450"/>
      <c r="J89" s="450"/>
      <c r="K89" s="450"/>
      <c r="L89" s="450"/>
      <c r="M89" s="450"/>
      <c r="N89" s="450"/>
      <c r="O89" s="450"/>
      <c r="P89" s="450"/>
      <c r="Q89" s="450"/>
      <c r="R89" s="450"/>
      <c r="S89" s="450"/>
      <c r="T89" s="450"/>
      <c r="U89" s="450"/>
      <c r="V89" s="450"/>
      <c r="W89" s="450"/>
      <c r="X89" s="450"/>
      <c r="Y89" s="450"/>
      <c r="Z89" s="450"/>
      <c r="AA89" s="450"/>
      <c r="AB89" s="450"/>
      <c r="AC89" s="450"/>
      <c r="AD89" s="450"/>
      <c r="AE89" s="450"/>
      <c r="AF89" s="450"/>
      <c r="AG89" s="450"/>
      <c r="AH89" s="451"/>
      <c r="AI89" s="357"/>
      <c r="AJ89" s="152"/>
    </row>
    <row r="90" spans="1:41" s="202" customFormat="1" ht="11.25" customHeight="1">
      <c r="A90" s="151">
        <v>2</v>
      </c>
      <c r="B90" s="450" t="s">
        <v>341</v>
      </c>
      <c r="C90" s="450"/>
      <c r="D90" s="450"/>
      <c r="E90" s="450"/>
      <c r="F90" s="450"/>
      <c r="G90" s="450"/>
      <c r="H90" s="450"/>
      <c r="I90" s="450"/>
      <c r="J90" s="450"/>
      <c r="K90" s="450"/>
      <c r="L90" s="450"/>
      <c r="M90" s="450"/>
      <c r="N90" s="450"/>
      <c r="O90" s="450"/>
      <c r="P90" s="450"/>
      <c r="Q90" s="450"/>
      <c r="R90" s="450"/>
      <c r="S90" s="450"/>
      <c r="T90" s="450"/>
      <c r="U90" s="450"/>
      <c r="V90" s="450"/>
      <c r="W90" s="450"/>
      <c r="X90" s="450"/>
      <c r="Y90" s="450"/>
      <c r="Z90" s="450"/>
      <c r="AA90" s="450"/>
      <c r="AB90" s="450"/>
      <c r="AC90" s="450"/>
      <c r="AD90" s="450"/>
      <c r="AE90" s="450"/>
      <c r="AF90" s="450"/>
      <c r="AG90" s="450"/>
      <c r="AH90" s="451"/>
      <c r="AI90" s="357"/>
      <c r="AJ90" s="152"/>
    </row>
    <row r="91" spans="1:41" s="202" customFormat="1" ht="11.25" customHeight="1">
      <c r="A91" s="151">
        <v>3</v>
      </c>
      <c r="B91" s="450" t="s">
        <v>2</v>
      </c>
      <c r="C91" s="450"/>
      <c r="D91" s="450"/>
      <c r="E91" s="450"/>
      <c r="F91" s="450"/>
      <c r="G91" s="450"/>
      <c r="H91" s="450"/>
      <c r="I91" s="450"/>
      <c r="J91" s="450"/>
      <c r="K91" s="450"/>
      <c r="L91" s="450"/>
      <c r="M91" s="450"/>
      <c r="N91" s="450"/>
      <c r="O91" s="450"/>
      <c r="P91" s="450"/>
      <c r="Q91" s="450"/>
      <c r="R91" s="450"/>
      <c r="S91" s="450"/>
      <c r="T91" s="450"/>
      <c r="U91" s="450"/>
      <c r="V91" s="450"/>
      <c r="W91" s="450"/>
      <c r="X91" s="450"/>
      <c r="Y91" s="450"/>
      <c r="Z91" s="450"/>
      <c r="AA91" s="450"/>
      <c r="AB91" s="450"/>
      <c r="AC91" s="450"/>
      <c r="AD91" s="450"/>
      <c r="AE91" s="450"/>
      <c r="AF91" s="450"/>
      <c r="AG91" s="450"/>
      <c r="AH91" s="451"/>
      <c r="AI91" s="357"/>
      <c r="AJ91" s="152"/>
    </row>
    <row r="92" spans="1:41" s="202" customFormat="1" ht="11.25" customHeight="1">
      <c r="A92" s="151">
        <v>4</v>
      </c>
      <c r="B92" s="450" t="s">
        <v>277</v>
      </c>
      <c r="C92" s="450"/>
      <c r="D92" s="450"/>
      <c r="E92" s="450"/>
      <c r="F92" s="450"/>
      <c r="G92" s="450"/>
      <c r="H92" s="450"/>
      <c r="I92" s="450"/>
      <c r="J92" s="450"/>
      <c r="K92" s="450"/>
      <c r="L92" s="450"/>
      <c r="M92" s="450"/>
      <c r="N92" s="450"/>
      <c r="O92" s="450"/>
      <c r="P92" s="450"/>
      <c r="Q92" s="450"/>
      <c r="R92" s="450"/>
      <c r="S92" s="450"/>
      <c r="T92" s="450"/>
      <c r="U92" s="450"/>
      <c r="V92" s="450"/>
      <c r="W92" s="450"/>
      <c r="X92" s="450"/>
      <c r="Y92" s="450"/>
      <c r="Z92" s="450"/>
      <c r="AA92" s="450"/>
      <c r="AB92" s="450"/>
      <c r="AC92" s="450"/>
      <c r="AD92" s="450"/>
      <c r="AE92" s="450"/>
      <c r="AF92" s="450"/>
      <c r="AG92" s="450"/>
      <c r="AH92" s="451"/>
      <c r="AI92" s="357"/>
      <c r="AJ92" s="152"/>
    </row>
    <row r="93" spans="1:41" s="202" customFormat="1" ht="11.25" customHeight="1">
      <c r="A93" s="151"/>
      <c r="B93" s="450"/>
      <c r="C93" s="450"/>
      <c r="D93" s="450"/>
      <c r="E93" s="450"/>
      <c r="F93" s="450"/>
      <c r="G93" s="450"/>
      <c r="H93" s="450"/>
      <c r="I93" s="450"/>
      <c r="J93" s="450"/>
      <c r="K93" s="450"/>
      <c r="L93" s="450"/>
      <c r="M93" s="450"/>
      <c r="N93" s="450"/>
      <c r="O93" s="450"/>
      <c r="P93" s="450"/>
      <c r="Q93" s="450"/>
      <c r="R93" s="450"/>
      <c r="S93" s="450"/>
      <c r="T93" s="450"/>
      <c r="U93" s="450"/>
      <c r="V93" s="450"/>
      <c r="W93" s="450"/>
      <c r="X93" s="450"/>
      <c r="Y93" s="450"/>
      <c r="Z93" s="450"/>
      <c r="AA93" s="450"/>
      <c r="AB93" s="450"/>
      <c r="AC93" s="450"/>
      <c r="AD93" s="450"/>
      <c r="AE93" s="450"/>
      <c r="AF93" s="450"/>
      <c r="AG93" s="450"/>
      <c r="AH93" s="451"/>
      <c r="AI93" s="357"/>
      <c r="AJ93" s="152"/>
    </row>
    <row r="94" spans="1:41" s="202" customFormat="1" ht="11.25" customHeight="1">
      <c r="A94" s="151">
        <v>5</v>
      </c>
      <c r="B94" s="450" t="s">
        <v>3</v>
      </c>
      <c r="C94" s="450"/>
      <c r="D94" s="450"/>
      <c r="E94" s="450"/>
      <c r="F94" s="450"/>
      <c r="G94" s="450"/>
      <c r="H94" s="450"/>
      <c r="I94" s="450"/>
      <c r="J94" s="450"/>
      <c r="K94" s="450"/>
      <c r="L94" s="450"/>
      <c r="M94" s="450"/>
      <c r="N94" s="450"/>
      <c r="O94" s="450"/>
      <c r="P94" s="450"/>
      <c r="Q94" s="450"/>
      <c r="R94" s="450"/>
      <c r="S94" s="450"/>
      <c r="T94" s="450"/>
      <c r="U94" s="450"/>
      <c r="V94" s="450"/>
      <c r="W94" s="450"/>
      <c r="X94" s="450"/>
      <c r="Y94" s="450"/>
      <c r="Z94" s="450"/>
      <c r="AA94" s="450"/>
      <c r="AB94" s="450"/>
      <c r="AC94" s="450"/>
      <c r="AD94" s="450"/>
      <c r="AE94" s="450"/>
      <c r="AF94" s="450"/>
      <c r="AG94" s="450"/>
      <c r="AH94" s="451"/>
      <c r="AI94" s="357"/>
      <c r="AJ94" s="152"/>
    </row>
    <row r="95" spans="1:41" s="202" customFormat="1" ht="11.25">
      <c r="A95" s="151"/>
      <c r="B95" s="450"/>
      <c r="C95" s="450"/>
      <c r="D95" s="450"/>
      <c r="E95" s="450"/>
      <c r="F95" s="450"/>
      <c r="G95" s="450"/>
      <c r="H95" s="450"/>
      <c r="I95" s="450"/>
      <c r="J95" s="450"/>
      <c r="K95" s="450"/>
      <c r="L95" s="450"/>
      <c r="M95" s="450"/>
      <c r="N95" s="450"/>
      <c r="O95" s="450"/>
      <c r="P95" s="450"/>
      <c r="Q95" s="450"/>
      <c r="R95" s="450"/>
      <c r="S95" s="450"/>
      <c r="T95" s="450"/>
      <c r="U95" s="450"/>
      <c r="V95" s="450"/>
      <c r="W95" s="450"/>
      <c r="X95" s="450"/>
      <c r="Y95" s="450"/>
      <c r="Z95" s="450"/>
      <c r="AA95" s="450"/>
      <c r="AB95" s="450"/>
      <c r="AC95" s="450"/>
      <c r="AD95" s="450"/>
      <c r="AE95" s="450"/>
      <c r="AF95" s="450"/>
      <c r="AG95" s="450"/>
      <c r="AH95" s="451"/>
      <c r="AI95" s="357"/>
      <c r="AJ95" s="152"/>
    </row>
    <row r="96" spans="1:41" s="202" customFormat="1" ht="11.25" customHeight="1">
      <c r="A96" s="151">
        <v>6</v>
      </c>
      <c r="B96" s="450" t="s">
        <v>4</v>
      </c>
      <c r="C96" s="450"/>
      <c r="D96" s="450"/>
      <c r="E96" s="450"/>
      <c r="F96" s="450"/>
      <c r="G96" s="450"/>
      <c r="H96" s="450"/>
      <c r="I96" s="450"/>
      <c r="J96" s="450"/>
      <c r="K96" s="450"/>
      <c r="L96" s="450"/>
      <c r="M96" s="450"/>
      <c r="N96" s="450"/>
      <c r="O96" s="450"/>
      <c r="P96" s="450"/>
      <c r="Q96" s="450"/>
      <c r="R96" s="450"/>
      <c r="S96" s="450"/>
      <c r="T96" s="450"/>
      <c r="U96" s="450"/>
      <c r="V96" s="450"/>
      <c r="W96" s="450"/>
      <c r="X96" s="450"/>
      <c r="Y96" s="450"/>
      <c r="Z96" s="450"/>
      <c r="AA96" s="450"/>
      <c r="AB96" s="450"/>
      <c r="AC96" s="450"/>
      <c r="AD96" s="450"/>
      <c r="AE96" s="450"/>
      <c r="AF96" s="450"/>
      <c r="AG96" s="450"/>
      <c r="AH96" s="451"/>
      <c r="AI96" s="357"/>
      <c r="AJ96" s="152"/>
    </row>
    <row r="97" spans="1:36" s="202" customFormat="1" ht="11.25">
      <c r="A97" s="151"/>
      <c r="B97" s="450"/>
      <c r="C97" s="450"/>
      <c r="D97" s="450"/>
      <c r="E97" s="450"/>
      <c r="F97" s="450"/>
      <c r="G97" s="450"/>
      <c r="H97" s="450"/>
      <c r="I97" s="450"/>
      <c r="J97" s="450"/>
      <c r="K97" s="450"/>
      <c r="L97" s="450"/>
      <c r="M97" s="450"/>
      <c r="N97" s="450"/>
      <c r="O97" s="450"/>
      <c r="P97" s="450"/>
      <c r="Q97" s="450"/>
      <c r="R97" s="450"/>
      <c r="S97" s="450"/>
      <c r="T97" s="450"/>
      <c r="U97" s="450"/>
      <c r="V97" s="450"/>
      <c r="W97" s="450"/>
      <c r="X97" s="450"/>
      <c r="Y97" s="450"/>
      <c r="Z97" s="450"/>
      <c r="AA97" s="450"/>
      <c r="AB97" s="450"/>
      <c r="AC97" s="450"/>
      <c r="AD97" s="450"/>
      <c r="AE97" s="450"/>
      <c r="AF97" s="450"/>
      <c r="AG97" s="450"/>
      <c r="AH97" s="451"/>
      <c r="AI97" s="357"/>
      <c r="AJ97" s="152"/>
    </row>
    <row r="98" spans="1:36" s="202" customFormat="1" ht="11.25" customHeight="1">
      <c r="A98" s="151">
        <v>7</v>
      </c>
      <c r="B98" s="450" t="s">
        <v>1</v>
      </c>
      <c r="C98" s="450"/>
      <c r="D98" s="450"/>
      <c r="E98" s="450"/>
      <c r="F98" s="450"/>
      <c r="G98" s="450"/>
      <c r="H98" s="450"/>
      <c r="I98" s="450"/>
      <c r="J98" s="450"/>
      <c r="K98" s="450"/>
      <c r="L98" s="450"/>
      <c r="M98" s="450"/>
      <c r="N98" s="450"/>
      <c r="O98" s="450"/>
      <c r="P98" s="450"/>
      <c r="Q98" s="450"/>
      <c r="R98" s="450"/>
      <c r="S98" s="450"/>
      <c r="T98" s="450"/>
      <c r="U98" s="450"/>
      <c r="V98" s="450"/>
      <c r="W98" s="450"/>
      <c r="X98" s="450"/>
      <c r="Y98" s="450"/>
      <c r="Z98" s="450"/>
      <c r="AA98" s="450"/>
      <c r="AB98" s="450"/>
      <c r="AC98" s="450"/>
      <c r="AD98" s="450"/>
      <c r="AE98" s="450"/>
      <c r="AF98" s="450"/>
      <c r="AG98" s="450"/>
      <c r="AH98" s="451"/>
      <c r="AI98" s="357"/>
      <c r="AJ98" s="152"/>
    </row>
    <row r="99" spans="1:36" s="202" customFormat="1" ht="11.25" customHeight="1">
      <c r="A99" s="151">
        <v>8</v>
      </c>
      <c r="B99" s="450" t="s">
        <v>342</v>
      </c>
      <c r="C99" s="450"/>
      <c r="D99" s="450"/>
      <c r="E99" s="450"/>
      <c r="F99" s="450"/>
      <c r="G99" s="450"/>
      <c r="H99" s="450"/>
      <c r="I99" s="450"/>
      <c r="J99" s="450"/>
      <c r="K99" s="450"/>
      <c r="L99" s="450"/>
      <c r="M99" s="450"/>
      <c r="N99" s="450"/>
      <c r="O99" s="450"/>
      <c r="P99" s="450"/>
      <c r="Q99" s="450"/>
      <c r="R99" s="450"/>
      <c r="S99" s="450"/>
      <c r="T99" s="450"/>
      <c r="U99" s="450"/>
      <c r="V99" s="450"/>
      <c r="W99" s="450"/>
      <c r="X99" s="450"/>
      <c r="Y99" s="450"/>
      <c r="Z99" s="450"/>
      <c r="AA99" s="450"/>
      <c r="AB99" s="450"/>
      <c r="AC99" s="450"/>
      <c r="AD99" s="450"/>
      <c r="AE99" s="450"/>
      <c r="AF99" s="450"/>
      <c r="AG99" s="450"/>
      <c r="AH99" s="451"/>
      <c r="AI99" s="357"/>
      <c r="AJ99" s="152"/>
    </row>
    <row r="100" spans="1:36" s="202" customFormat="1" ht="11.25" customHeight="1">
      <c r="A100" s="151">
        <v>9</v>
      </c>
      <c r="B100" s="450" t="s">
        <v>418</v>
      </c>
      <c r="C100" s="450"/>
      <c r="D100" s="450"/>
      <c r="E100" s="450"/>
      <c r="F100" s="450"/>
      <c r="G100" s="450"/>
      <c r="H100" s="450"/>
      <c r="I100" s="450"/>
      <c r="J100" s="450"/>
      <c r="K100" s="450"/>
      <c r="L100" s="450"/>
      <c r="M100" s="450"/>
      <c r="N100" s="450"/>
      <c r="O100" s="450"/>
      <c r="P100" s="450"/>
      <c r="Q100" s="450"/>
      <c r="R100" s="450"/>
      <c r="S100" s="450"/>
      <c r="T100" s="450"/>
      <c r="U100" s="450"/>
      <c r="V100" s="450"/>
      <c r="W100" s="450"/>
      <c r="X100" s="450"/>
      <c r="Y100" s="450"/>
      <c r="Z100" s="450"/>
      <c r="AA100" s="450"/>
      <c r="AB100" s="450"/>
      <c r="AC100" s="450"/>
      <c r="AD100" s="450"/>
      <c r="AE100" s="450"/>
      <c r="AF100" s="450"/>
      <c r="AG100" s="450"/>
      <c r="AH100" s="451"/>
      <c r="AI100" s="357"/>
      <c r="AJ100" s="152"/>
    </row>
    <row r="101" spans="1:36" s="202" customFormat="1" ht="11.25" customHeight="1">
      <c r="A101" s="151"/>
      <c r="B101" s="450"/>
      <c r="C101" s="450"/>
      <c r="D101" s="450"/>
      <c r="E101" s="450"/>
      <c r="F101" s="450"/>
      <c r="G101" s="450"/>
      <c r="H101" s="450"/>
      <c r="I101" s="450"/>
      <c r="J101" s="450"/>
      <c r="K101" s="450"/>
      <c r="L101" s="450"/>
      <c r="M101" s="450"/>
      <c r="N101" s="450"/>
      <c r="O101" s="450"/>
      <c r="P101" s="450"/>
      <c r="Q101" s="450"/>
      <c r="R101" s="450"/>
      <c r="S101" s="450"/>
      <c r="T101" s="450"/>
      <c r="U101" s="450"/>
      <c r="V101" s="450"/>
      <c r="W101" s="450"/>
      <c r="X101" s="450"/>
      <c r="Y101" s="450"/>
      <c r="Z101" s="450"/>
      <c r="AA101" s="450"/>
      <c r="AB101" s="450"/>
      <c r="AC101" s="450"/>
      <c r="AD101" s="450"/>
      <c r="AE101" s="450"/>
      <c r="AF101" s="450"/>
      <c r="AG101" s="450"/>
      <c r="AH101" s="451"/>
      <c r="AI101" s="357"/>
      <c r="AJ101" s="152"/>
    </row>
    <row r="102" spans="1:36" s="202" customFormat="1" ht="14.25" customHeight="1" thickBot="1">
      <c r="A102" s="153"/>
      <c r="B102" s="765"/>
      <c r="C102" s="765"/>
      <c r="D102" s="765"/>
      <c r="E102" s="765"/>
      <c r="F102" s="765"/>
      <c r="G102" s="765"/>
      <c r="H102" s="765"/>
      <c r="I102" s="765"/>
      <c r="J102" s="765"/>
      <c r="K102" s="765"/>
      <c r="L102" s="765"/>
      <c r="M102" s="765"/>
      <c r="N102" s="765"/>
      <c r="O102" s="765"/>
      <c r="P102" s="765"/>
      <c r="Q102" s="765"/>
      <c r="R102" s="765"/>
      <c r="S102" s="765"/>
      <c r="T102" s="765"/>
      <c r="U102" s="765"/>
      <c r="V102" s="765"/>
      <c r="W102" s="765"/>
      <c r="X102" s="765"/>
      <c r="Y102" s="765"/>
      <c r="Z102" s="765"/>
      <c r="AA102" s="765"/>
      <c r="AB102" s="765"/>
      <c r="AC102" s="765"/>
      <c r="AD102" s="765"/>
      <c r="AE102" s="765"/>
      <c r="AF102" s="765"/>
      <c r="AG102" s="765"/>
      <c r="AH102" s="766"/>
      <c r="AI102" s="357"/>
      <c r="AJ102" s="152"/>
    </row>
    <row r="103" spans="1:36">
      <c r="A103" s="143"/>
      <c r="B103" s="143"/>
      <c r="C103" s="143"/>
      <c r="D103" s="143"/>
      <c r="E103" s="143"/>
      <c r="F103" s="143"/>
      <c r="G103" s="143"/>
      <c r="H103" s="143"/>
      <c r="I103" s="143"/>
      <c r="J103" s="143"/>
      <c r="K103" s="143"/>
      <c r="L103" s="143"/>
      <c r="M103" s="143"/>
      <c r="N103" s="143"/>
      <c r="O103" s="143"/>
      <c r="P103" s="143"/>
      <c r="Q103" s="143"/>
      <c r="R103" s="143"/>
      <c r="S103" s="143"/>
      <c r="T103" s="143"/>
      <c r="U103" s="143"/>
      <c r="V103" s="143"/>
      <c r="W103" s="143"/>
      <c r="X103" s="143"/>
      <c r="Y103" s="143"/>
      <c r="Z103" s="143"/>
      <c r="AA103" s="143"/>
      <c r="AB103" s="143"/>
      <c r="AC103" s="143"/>
      <c r="AD103" s="143"/>
      <c r="AE103" s="143"/>
      <c r="AF103" s="143"/>
      <c r="AG103" s="143"/>
      <c r="AH103" s="143"/>
      <c r="AI103" s="143"/>
    </row>
  </sheetData>
  <mergeCells count="188">
    <mergeCell ref="X1:Z1"/>
    <mergeCell ref="AA1:AC1"/>
    <mergeCell ref="AD1:AH1"/>
    <mergeCell ref="X2:Z4"/>
    <mergeCell ref="AA2:AC4"/>
    <mergeCell ref="AD2:AG4"/>
    <mergeCell ref="AH2:AH4"/>
    <mergeCell ref="A14:D15"/>
    <mergeCell ref="E14:G15"/>
    <mergeCell ref="H14:S14"/>
    <mergeCell ref="T14:V15"/>
    <mergeCell ref="W14:AH14"/>
    <mergeCell ref="H15:S15"/>
    <mergeCell ref="W15:AH15"/>
    <mergeCell ref="A6:AH6"/>
    <mergeCell ref="A11:D11"/>
    <mergeCell ref="E11:AH11"/>
    <mergeCell ref="A12:D13"/>
    <mergeCell ref="F12:AH12"/>
    <mergeCell ref="E13:AH13"/>
    <mergeCell ref="T18:V18"/>
    <mergeCell ref="W18:AH18"/>
    <mergeCell ref="A20:G20"/>
    <mergeCell ref="M20:AH20"/>
    <mergeCell ref="A21:AH21"/>
    <mergeCell ref="A16:D18"/>
    <mergeCell ref="E16:G16"/>
    <mergeCell ref="H16:S16"/>
    <mergeCell ref="T16:V17"/>
    <mergeCell ref="W16:AH16"/>
    <mergeCell ref="E17:G17"/>
    <mergeCell ref="H17:S17"/>
    <mergeCell ref="W17:AH17"/>
    <mergeCell ref="E18:G18"/>
    <mergeCell ref="H18:S18"/>
    <mergeCell ref="H20:K20"/>
    <mergeCell ref="E26:G26"/>
    <mergeCell ref="K26:P26"/>
    <mergeCell ref="T26:Y26"/>
    <mergeCell ref="AC26:AH26"/>
    <mergeCell ref="E27:G27"/>
    <mergeCell ref="K27:P27"/>
    <mergeCell ref="T27:Y27"/>
    <mergeCell ref="AC27:AH27"/>
    <mergeCell ref="A22:AH22"/>
    <mergeCell ref="A24:D28"/>
    <mergeCell ref="E24:AH24"/>
    <mergeCell ref="E25:G25"/>
    <mergeCell ref="H25:J28"/>
    <mergeCell ref="K25:P25"/>
    <mergeCell ref="Q25:S28"/>
    <mergeCell ref="T25:Y25"/>
    <mergeCell ref="Z25:AB28"/>
    <mergeCell ref="AC25:AH25"/>
    <mergeCell ref="E28:G28"/>
    <mergeCell ref="K28:P28"/>
    <mergeCell ref="T28:Y28"/>
    <mergeCell ref="AC28:AH28"/>
    <mergeCell ref="A29:D30"/>
    <mergeCell ref="E29:M30"/>
    <mergeCell ref="N29:R29"/>
    <mergeCell ref="S29:Z29"/>
    <mergeCell ref="AA29:AH29"/>
    <mergeCell ref="N30:AH30"/>
    <mergeCell ref="Z32:AH32"/>
    <mergeCell ref="A33:G34"/>
    <mergeCell ref="H33:M33"/>
    <mergeCell ref="N33:S33"/>
    <mergeCell ref="T33:Y33"/>
    <mergeCell ref="Z33:AH33"/>
    <mergeCell ref="H34:M34"/>
    <mergeCell ref="N34:S34"/>
    <mergeCell ref="T34:Y34"/>
    <mergeCell ref="Z34:AH34"/>
    <mergeCell ref="A37:G38"/>
    <mergeCell ref="H37:M38"/>
    <mergeCell ref="N37:S38"/>
    <mergeCell ref="T37:Y38"/>
    <mergeCell ref="Z37:AH37"/>
    <mergeCell ref="Z38:AH38"/>
    <mergeCell ref="A35:G36"/>
    <mergeCell ref="H35:M36"/>
    <mergeCell ref="N35:S36"/>
    <mergeCell ref="T35:Y36"/>
    <mergeCell ref="Z35:AH35"/>
    <mergeCell ref="Z36:AH36"/>
    <mergeCell ref="A41:G42"/>
    <mergeCell ref="H41:M42"/>
    <mergeCell ref="N41:S42"/>
    <mergeCell ref="T41:Y42"/>
    <mergeCell ref="Z41:AH41"/>
    <mergeCell ref="Z42:AH42"/>
    <mergeCell ref="A39:G40"/>
    <mergeCell ref="H39:M40"/>
    <mergeCell ref="N39:S40"/>
    <mergeCell ref="T39:Y40"/>
    <mergeCell ref="Z39:AH39"/>
    <mergeCell ref="Z40:AH40"/>
    <mergeCell ref="Z44:AH44"/>
    <mergeCell ref="A45:G46"/>
    <mergeCell ref="H45:M45"/>
    <mergeCell ref="N45:S45"/>
    <mergeCell ref="T45:Y45"/>
    <mergeCell ref="Z45:AH46"/>
    <mergeCell ref="H46:M46"/>
    <mergeCell ref="N46:S46"/>
    <mergeCell ref="T46:Y46"/>
    <mergeCell ref="A83:I83"/>
    <mergeCell ref="L83:AH83"/>
    <mergeCell ref="A87:AH87"/>
    <mergeCell ref="B88:AH89"/>
    <mergeCell ref="B90:AH90"/>
    <mergeCell ref="B91:AH91"/>
    <mergeCell ref="B92:AH93"/>
    <mergeCell ref="B94:AH95"/>
    <mergeCell ref="B96:AH97"/>
    <mergeCell ref="B98:AH98"/>
    <mergeCell ref="B99:AH99"/>
    <mergeCell ref="B100:AH101"/>
    <mergeCell ref="B102:AH102"/>
    <mergeCell ref="AB48:AE48"/>
    <mergeCell ref="AB50:AE50"/>
    <mergeCell ref="AB52:AE52"/>
    <mergeCell ref="Z54:AH54"/>
    <mergeCell ref="A56:G64"/>
    <mergeCell ref="J57:M57"/>
    <mergeCell ref="P57:S57"/>
    <mergeCell ref="V57:Y57"/>
    <mergeCell ref="AB57:AE57"/>
    <mergeCell ref="J48:M48"/>
    <mergeCell ref="J50:M50"/>
    <mergeCell ref="P48:S48"/>
    <mergeCell ref="V48:Y48"/>
    <mergeCell ref="J52:M52"/>
    <mergeCell ref="J54:M54"/>
    <mergeCell ref="P50:S50"/>
    <mergeCell ref="P52:S52"/>
    <mergeCell ref="P54:S54"/>
    <mergeCell ref="V52:Y52"/>
    <mergeCell ref="V50:Y50"/>
    <mergeCell ref="A47:G55"/>
    <mergeCell ref="J59:M59"/>
    <mergeCell ref="P59:S59"/>
    <mergeCell ref="V59:Y59"/>
    <mergeCell ref="AB59:AE59"/>
    <mergeCell ref="J61:M61"/>
    <mergeCell ref="P61:S61"/>
    <mergeCell ref="V61:Y61"/>
    <mergeCell ref="AB61:AE61"/>
    <mergeCell ref="V54:Y54"/>
    <mergeCell ref="P68:S68"/>
    <mergeCell ref="V68:Y68"/>
    <mergeCell ref="AB68:AE68"/>
    <mergeCell ref="V70:Y70"/>
    <mergeCell ref="AB70:AE70"/>
    <mergeCell ref="J63:M63"/>
    <mergeCell ref="P63:S63"/>
    <mergeCell ref="V63:Y63"/>
    <mergeCell ref="Z63:AH63"/>
    <mergeCell ref="J66:M66"/>
    <mergeCell ref="P66:S66"/>
    <mergeCell ref="V66:Y66"/>
    <mergeCell ref="AB66:AE66"/>
    <mergeCell ref="J68:M68"/>
    <mergeCell ref="J72:M72"/>
    <mergeCell ref="P72:S72"/>
    <mergeCell ref="V72:Y72"/>
    <mergeCell ref="Z72:AH72"/>
    <mergeCell ref="A74:G82"/>
    <mergeCell ref="J75:M75"/>
    <mergeCell ref="P75:S75"/>
    <mergeCell ref="V75:Y75"/>
    <mergeCell ref="AB75:AE75"/>
    <mergeCell ref="J77:M77"/>
    <mergeCell ref="A65:G73"/>
    <mergeCell ref="J81:M81"/>
    <mergeCell ref="P81:S81"/>
    <mergeCell ref="V81:Y81"/>
    <mergeCell ref="Z81:AH81"/>
    <mergeCell ref="P77:S77"/>
    <mergeCell ref="V77:Y77"/>
    <mergeCell ref="AB77:AE77"/>
    <mergeCell ref="J79:M79"/>
    <mergeCell ref="P79:S79"/>
    <mergeCell ref="V79:Y79"/>
    <mergeCell ref="AB79:AE79"/>
    <mergeCell ref="J70:M70"/>
    <mergeCell ref="P70:S70"/>
  </mergeCells>
  <phoneticPr fontId="4"/>
  <pageMargins left="0.59055118110236227" right="0.39370078740157483" top="0.19685039370078741" bottom="0.19685039370078741" header="0.31496062992125984" footer="0.31496062992125984"/>
  <pageSetup paperSize="9" scale="99" orientation="portrait" blackAndWhite="1" r:id="rId1"/>
  <rowBreaks count="1" manualBreakCount="1">
    <brk id="83" max="4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6"/>
  <sheetViews>
    <sheetView zoomScale="90" zoomScaleNormal="90" workbookViewId="0">
      <selection activeCell="H26" sqref="A23:AJ43"/>
    </sheetView>
  </sheetViews>
  <sheetFormatPr defaultColWidth="9" defaultRowHeight="12"/>
  <cols>
    <col min="1" max="1" width="3.25" style="199" customWidth="1"/>
    <col min="2" max="2" width="13.5" style="199" bestFit="1" customWidth="1"/>
    <col min="3" max="3" width="3.125" style="199" bestFit="1" customWidth="1"/>
    <col min="4" max="7" width="14.375" style="199" customWidth="1"/>
    <col min="8" max="8" width="13" style="199" customWidth="1"/>
    <col min="9" max="9" width="3.125" style="199" customWidth="1"/>
    <col min="10" max="10" width="0.375" style="199" customWidth="1"/>
    <col min="11" max="11" width="2.5" style="199" customWidth="1"/>
    <col min="12" max="12" width="2.875" style="199" customWidth="1"/>
    <col min="13" max="17" width="11.25" style="199" customWidth="1"/>
    <col min="18" max="16384" width="9" style="199"/>
  </cols>
  <sheetData>
    <row r="1" spans="1:17" ht="13.5" customHeight="1">
      <c r="A1" s="143"/>
      <c r="B1" s="143"/>
      <c r="C1" s="143"/>
      <c r="D1" s="143"/>
      <c r="E1" s="143"/>
      <c r="F1" s="143"/>
      <c r="G1" s="193" t="s">
        <v>317</v>
      </c>
      <c r="H1" s="767" t="s">
        <v>312</v>
      </c>
      <c r="I1" s="769"/>
      <c r="J1" s="143"/>
      <c r="M1" s="1261" t="s">
        <v>313</v>
      </c>
      <c r="N1" s="1262"/>
      <c r="O1" s="1263"/>
    </row>
    <row r="2" spans="1:17" ht="27.75" customHeight="1" thickBot="1">
      <c r="A2" s="143"/>
      <c r="B2" s="143"/>
      <c r="C2" s="143"/>
      <c r="D2" s="143"/>
      <c r="E2" s="143"/>
      <c r="F2" s="143"/>
      <c r="G2" s="322" t="str">
        <f>IF(変更届!X2="","",変更届!X2)</f>
        <v/>
      </c>
      <c r="H2" s="332" t="str">
        <f>IF(OR(内訳書!L2="○",内訳書!L2="◎"),内訳書!H2,"")</f>
        <v/>
      </c>
      <c r="I2" s="314" t="str">
        <f>IF(AND(変更届!AR2=1,O2="○"),"(1)",IF(AND(変更届!AR2=1,O2="◎"),"(1)",IF(AND(変更届!AR2=2,O2="○"),"(2)",IF(AND(変更届!AR2=2,O2="◎"),"(2)",""))))</f>
        <v/>
      </c>
      <c r="J2" s="143"/>
      <c r="M2" s="334" t="str">
        <f>IF(OR(内訳書!L2="○",内訳書!L2="◎"),内訳書!H2,"")</f>
        <v/>
      </c>
      <c r="N2" s="335">
        <f>変更届!AR2</f>
        <v>0</v>
      </c>
      <c r="O2" s="318"/>
      <c r="P2" s="199" t="s">
        <v>324</v>
      </c>
    </row>
    <row r="3" spans="1:17" ht="12.75" customHeight="1">
      <c r="A3" s="633" t="s">
        <v>284</v>
      </c>
      <c r="B3" s="633"/>
      <c r="C3" s="633"/>
      <c r="D3" s="633"/>
      <c r="E3" s="633"/>
      <c r="F3" s="633"/>
      <c r="G3" s="633"/>
      <c r="H3" s="143"/>
      <c r="I3" s="143"/>
      <c r="J3" s="143"/>
    </row>
    <row r="4" spans="1:17" ht="12.75" customHeight="1" thickBot="1">
      <c r="A4" s="633"/>
      <c r="B4" s="633"/>
      <c r="C4" s="633"/>
      <c r="D4" s="633"/>
      <c r="E4" s="633"/>
      <c r="F4" s="633"/>
      <c r="G4" s="633"/>
      <c r="H4" s="1029"/>
      <c r="I4" s="1029"/>
      <c r="J4" s="143"/>
    </row>
    <row r="5" spans="1:17" ht="25.5" customHeight="1" thickBot="1">
      <c r="A5" s="1009" t="str">
        <f>IF(申込書!W29="本部経費","※本部事務機構の使用につき、請求書の発行・振替はしません。","")</f>
        <v/>
      </c>
      <c r="B5" s="1009"/>
      <c r="C5" s="1009"/>
      <c r="D5" s="1009"/>
      <c r="E5" s="1009"/>
      <c r="F5" s="1009"/>
      <c r="G5" s="1009"/>
      <c r="H5" s="309"/>
      <c r="I5" s="309"/>
      <c r="J5" s="143"/>
      <c r="L5" s="1000" t="s">
        <v>170</v>
      </c>
      <c r="M5" s="1035"/>
      <c r="N5" s="1035"/>
      <c r="O5" s="1035"/>
      <c r="P5" s="1035"/>
      <c r="Q5" s="1001"/>
    </row>
    <row r="6" spans="1:17" ht="15.75" customHeight="1">
      <c r="A6" s="724" t="s">
        <v>59</v>
      </c>
      <c r="B6" s="634"/>
      <c r="C6" s="635"/>
      <c r="D6" s="240" t="s">
        <v>50</v>
      </c>
      <c r="E6" s="240" t="s">
        <v>52</v>
      </c>
      <c r="F6" s="327" t="s">
        <v>54</v>
      </c>
      <c r="G6" s="1031" t="s">
        <v>56</v>
      </c>
      <c r="H6" s="1272" t="s">
        <v>151</v>
      </c>
      <c r="I6" s="677"/>
      <c r="J6" s="143"/>
      <c r="L6" s="1025"/>
      <c r="M6" s="205" t="s">
        <v>50</v>
      </c>
      <c r="N6" s="205" t="s">
        <v>52</v>
      </c>
      <c r="O6" s="206" t="s">
        <v>54</v>
      </c>
      <c r="P6" s="1027" t="s">
        <v>56</v>
      </c>
      <c r="Q6" s="1023" t="s">
        <v>151</v>
      </c>
    </row>
    <row r="7" spans="1:17" ht="15.75" customHeight="1" thickBot="1">
      <c r="A7" s="725"/>
      <c r="B7" s="679"/>
      <c r="C7" s="680"/>
      <c r="D7" s="241" t="s">
        <v>51</v>
      </c>
      <c r="E7" s="241" t="s">
        <v>53</v>
      </c>
      <c r="F7" s="328" t="s">
        <v>55</v>
      </c>
      <c r="G7" s="1032"/>
      <c r="H7" s="1273"/>
      <c r="I7" s="681"/>
      <c r="J7" s="143"/>
      <c r="L7" s="1026"/>
      <c r="M7" s="207" t="s">
        <v>51</v>
      </c>
      <c r="N7" s="207" t="s">
        <v>53</v>
      </c>
      <c r="O7" s="208" t="s">
        <v>55</v>
      </c>
      <c r="P7" s="1028"/>
      <c r="Q7" s="1024"/>
    </row>
    <row r="8" spans="1:17" ht="14.25" customHeight="1" thickTop="1">
      <c r="A8" s="1019" t="s">
        <v>5</v>
      </c>
      <c r="B8" s="1248" t="str">
        <f>IF(変更届!A35="","",変更届!A35)</f>
        <v/>
      </c>
      <c r="C8" s="1260" t="str">
        <f>IF(B8="","",IF(COUNTIF(祝日!$A$1:$A$108,B8),"祝",WEEKDAY(B8)))</f>
        <v/>
      </c>
      <c r="D8" s="242" t="str">
        <f>IF(変更届!H35="","",変更届!H35)</f>
        <v/>
      </c>
      <c r="E8" s="242" t="str">
        <f>IF(変更届!N35="","",変更届!N35)</f>
        <v/>
      </c>
      <c r="F8" s="242" t="str">
        <f>IF(変更届!T35="","",変更届!T35)</f>
        <v/>
      </c>
      <c r="G8" s="243" t="str">
        <f>IF(変更届!Z35="","",変更届!Z35)</f>
        <v/>
      </c>
      <c r="H8" s="1253"/>
      <c r="I8" s="1254"/>
      <c r="J8" s="143"/>
      <c r="L8" s="1020" t="s">
        <v>5</v>
      </c>
      <c r="M8" s="209" t="str">
        <f>IF(D8="","",D8)</f>
        <v/>
      </c>
      <c r="N8" s="209" t="str">
        <f>E8</f>
        <v/>
      </c>
      <c r="O8" s="209" t="str">
        <f>F8</f>
        <v/>
      </c>
      <c r="P8" s="210" t="str">
        <f>G8</f>
        <v/>
      </c>
      <c r="Q8" s="211"/>
    </row>
    <row r="9" spans="1:17" ht="18.75" customHeight="1">
      <c r="A9" s="1019"/>
      <c r="B9" s="1248"/>
      <c r="C9" s="1260"/>
      <c r="D9" s="245" t="str">
        <f>IF(D8="","",VLOOKUP('判定表（変更）'!G16,料金!$E$1:$W$59,7,FALSE))</f>
        <v/>
      </c>
      <c r="E9" s="245" t="str">
        <f>IF(E8="","",VLOOKUP('判定表（変更）'!I16,料金!$E$1:$W$59,8,FALSE))</f>
        <v/>
      </c>
      <c r="F9" s="245" t="str">
        <f>IF(F8="","",VLOOKUP('判定表（変更）'!J16,料金!$E$1:$W$59,9,FALSE))</f>
        <v/>
      </c>
      <c r="G9" s="246" t="str">
        <f>IF(D8="","",IF(G8="7:30～9:30",VLOOKUP('判定表（変更）'!K16,料金!$E$1:$W$59,14,FALSE),IF(G8="8:00～9:30",VLOOKUP('判定表（変更）'!K16,料金!$E$1:$W$59,15,FALSE),IF(G8="8:30～9:30",VLOOKUP('判定表（変更）'!K16,料金!$E$1:$W$59,16,FALSE),""))))</f>
        <v/>
      </c>
      <c r="H9" s="1253">
        <f>SUM(D9:G9)</f>
        <v>0</v>
      </c>
      <c r="I9" s="1254"/>
      <c r="J9" s="143"/>
      <c r="L9" s="1020"/>
      <c r="M9" s="212" t="str">
        <f>IF(M8="","",VLOOKUP('判定表（変更）'!M16,料金!$E$1:$W$59,7,FALSE))</f>
        <v/>
      </c>
      <c r="N9" s="212" t="str">
        <f>IF(N8="","",VLOOKUP('判定表（変更）'!O16,料金!$E$1:$W$59,8,FALSE))</f>
        <v/>
      </c>
      <c r="O9" s="212" t="str">
        <f>IF(O8="","",VLOOKUP('判定表（変更）'!P16,料金!$E$1:$W$59,9,FALSE))</f>
        <v/>
      </c>
      <c r="P9" s="213" t="str">
        <f>IF(M8="","",IF(P8="7:30～9:30",VLOOKUP('判定表（変更）'!Q16,料金!$E$1:$W$59,14,FALSE),IF(P8="8:00～9:30",VLOOKUP('判定表（変更）'!Q16,料金!$E$1:$W$59,15,FALSE),IF(P8="8:30～9:30",VLOOKUP('判定表（変更）'!Q16,料金!$E$1:$W$59,16,FALSE),""))))</f>
        <v/>
      </c>
      <c r="Q9" s="214">
        <f>SUM(M9:P9)</f>
        <v>0</v>
      </c>
    </row>
    <row r="10" spans="1:17">
      <c r="A10" s="1019"/>
      <c r="B10" s="1249" t="str">
        <f>IF(変更届!A37="","",変更届!A37)</f>
        <v/>
      </c>
      <c r="C10" s="993" t="str">
        <f>IF(B10="","",IF(COUNTIF(祝日!$A$1:$A$108,B10),"祝",WEEKDAY(B10)))</f>
        <v/>
      </c>
      <c r="D10" s="248" t="str">
        <f>IF(変更届!H37="","",変更届!H37)</f>
        <v/>
      </c>
      <c r="E10" s="248" t="str">
        <f>IF(変更届!N37="","",変更届!N37)</f>
        <v/>
      </c>
      <c r="F10" s="248" t="str">
        <f>IF(変更届!T37="","",変更届!T37)</f>
        <v/>
      </c>
      <c r="G10" s="249" t="str">
        <f>IF(変更届!Z37="","",変更届!Z37)</f>
        <v/>
      </c>
      <c r="H10" s="1256"/>
      <c r="I10" s="1257"/>
      <c r="J10" s="143"/>
      <c r="L10" s="1020"/>
      <c r="M10" s="217" t="str">
        <f>IF(D10="","",D10)</f>
        <v/>
      </c>
      <c r="N10" s="215" t="str">
        <f>E10</f>
        <v/>
      </c>
      <c r="O10" s="215" t="str">
        <f>F10</f>
        <v/>
      </c>
      <c r="P10" s="216" t="str">
        <f>G10</f>
        <v/>
      </c>
      <c r="Q10" s="218"/>
    </row>
    <row r="11" spans="1:17" ht="18.75" customHeight="1">
      <c r="A11" s="1019"/>
      <c r="B11" s="1250"/>
      <c r="C11" s="1003"/>
      <c r="D11" s="251" t="str">
        <f>IF(D10="","",VLOOKUP('判定表（変更）'!G18,料金!$E$1:$W$59,7,FALSE))</f>
        <v/>
      </c>
      <c r="E11" s="251" t="str">
        <f>IF(E10="","",VLOOKUP('判定表（変更）'!I18,料金!$E$1:$W$59,8,FALSE))</f>
        <v/>
      </c>
      <c r="F11" s="251" t="str">
        <f>IF(F10="","",VLOOKUP('判定表（変更）'!J18,料金!$E$1:$W$59,9,FALSE))</f>
        <v/>
      </c>
      <c r="G11" s="252" t="str">
        <f>IF(D10="","",IF(G10="7:30～9:30",VLOOKUP('判定表（変更）'!K18,料金!$E$1:$W$59,14,FALSE),IF(G10="8:00～9:30",VLOOKUP('判定表（変更）'!K18,料金!$E$1:$W$59,15,FALSE),IF(G10="8:30～9:30",VLOOKUP('判定表（変更）'!K18,料金!$E$1:$W$59,16,FALSE),""))))</f>
        <v/>
      </c>
      <c r="H11" s="1258">
        <f>SUM(D11:G11)</f>
        <v>0</v>
      </c>
      <c r="I11" s="1259"/>
      <c r="J11" s="143"/>
      <c r="L11" s="1020"/>
      <c r="M11" s="222" t="str">
        <f>IF(M10="","",VLOOKUP('判定表（変更）'!M18,料金!$E$1:$W$59,7,FALSE))</f>
        <v/>
      </c>
      <c r="N11" s="219" t="str">
        <f>IF(N10="","",VLOOKUP('判定表（変更）'!O18,料金!$E$1:$W$59,8,FALSE))</f>
        <v/>
      </c>
      <c r="O11" s="219" t="str">
        <f>IF(O10="","",VLOOKUP('判定表（変更）'!P18,料金!$E$1:$W$59,9,FALSE))</f>
        <v/>
      </c>
      <c r="P11" s="220" t="str">
        <f>IF(M10="","",IF(P10="7:30～9:30",VLOOKUP('判定表（変更）'!Q18,料金!$E$1:$W$59,14,FALSE),IF(P10="8:00～9:30",VLOOKUP('判定表（変更）'!Q18,料金!$E$1:$W$59,15,FALSE),IF(P10="8:30～9:30",VLOOKUP('判定表（変更）'!Q18,料金!$E$1:$W$59,16,FALSE),""))))</f>
        <v/>
      </c>
      <c r="Q11" s="221">
        <f>SUM(M11:P11)</f>
        <v>0</v>
      </c>
    </row>
    <row r="12" spans="1:17">
      <c r="A12" s="1019"/>
      <c r="B12" s="1248" t="str">
        <f>IF(変更届!A39="","",変更届!A39)</f>
        <v/>
      </c>
      <c r="C12" s="993" t="str">
        <f>IF(B12="","",IF(COUNTIF(祝日!$A$1:$A$108,B12),"祝",WEEKDAY(B12)))</f>
        <v/>
      </c>
      <c r="D12" s="242" t="str">
        <f>IF(変更届!H39="","",変更届!H39)</f>
        <v/>
      </c>
      <c r="E12" s="242" t="str">
        <f>IF(変更届!N39="","",変更届!N39)</f>
        <v/>
      </c>
      <c r="F12" s="242" t="str">
        <f>IF(変更届!T39="","",変更届!T39)</f>
        <v/>
      </c>
      <c r="G12" s="243" t="str">
        <f>IF(変更届!Z39="","",変更届!Z39)</f>
        <v/>
      </c>
      <c r="H12" s="1253"/>
      <c r="I12" s="1254"/>
      <c r="J12" s="143"/>
      <c r="L12" s="1020"/>
      <c r="M12" s="217" t="str">
        <f>IF(D12="","",D12)</f>
        <v/>
      </c>
      <c r="N12" s="215" t="str">
        <f>E12</f>
        <v/>
      </c>
      <c r="O12" s="215" t="str">
        <f>F12</f>
        <v/>
      </c>
      <c r="P12" s="216" t="str">
        <f>G12</f>
        <v/>
      </c>
      <c r="Q12" s="211"/>
    </row>
    <row r="13" spans="1:17" ht="18.75" customHeight="1">
      <c r="A13" s="1019"/>
      <c r="B13" s="1248"/>
      <c r="C13" s="1003"/>
      <c r="D13" s="245" t="str">
        <f>IF(D12="","",VLOOKUP('判定表（変更）'!G20,料金!$E$1:$W$59,7,FALSE))</f>
        <v/>
      </c>
      <c r="E13" s="245" t="str">
        <f>IF(E12="","",VLOOKUP('判定表（変更）'!I20,料金!$E$1:$W$59,8,FALSE))</f>
        <v/>
      </c>
      <c r="F13" s="245" t="str">
        <f>IF(F12="","",VLOOKUP('判定表（変更）'!J20,料金!$E$1:$W$59,9,FALSE))</f>
        <v/>
      </c>
      <c r="G13" s="246" t="str">
        <f>IF(D12="","",IF(G12="7:30～9:30",VLOOKUP('判定表（変更）'!K20,料金!$E$1:$W$59,14,FALSE),IF(G12="8:00～9:30",VLOOKUP('判定表（変更）'!K20,料金!$E$1:$W$59,15,FALSE),IF(G12="8:30～9:30",VLOOKUP('判定表（変更）'!K20,料金!$E$1:$W$59,16,FALSE),""))))</f>
        <v/>
      </c>
      <c r="H13" s="1253">
        <f>SUM(D13:G13)</f>
        <v>0</v>
      </c>
      <c r="I13" s="1254"/>
      <c r="J13" s="143"/>
      <c r="L13" s="1020"/>
      <c r="M13" s="212" t="str">
        <f>IF(M12="","",VLOOKUP('判定表（変更）'!M20,料金!$E$1:$W$59,7,FALSE))</f>
        <v/>
      </c>
      <c r="N13" s="212" t="str">
        <f>IF(N12="","",VLOOKUP('判定表（変更）'!O20,料金!$E$1:$W$59,8,FALSE))</f>
        <v/>
      </c>
      <c r="O13" s="212" t="str">
        <f>IF(O12="","",VLOOKUP('判定表（変更）'!P20,料金!$E$1:$W$59,9,FALSE))</f>
        <v/>
      </c>
      <c r="P13" s="213" t="str">
        <f>IF(M12="","",IF(P12="7:30～9:30",VLOOKUP('判定表（変更）'!Q20,料金!$E$1:$W$59,14,FALSE),IF(P12="8:00～9:30",VLOOKUP('判定表（変更）'!Q20,料金!$E$1:$W$59,15,FALSE),IF(P12="8:30～9:30",VLOOKUP('判定表（変更）'!Q20,料金!$E$1:$W$59,16,FALSE),""))))</f>
        <v/>
      </c>
      <c r="Q13" s="214">
        <f>SUM(M13:P13)</f>
        <v>0</v>
      </c>
    </row>
    <row r="14" spans="1:17">
      <c r="A14" s="1019"/>
      <c r="B14" s="1249" t="str">
        <f>IF(変更届!A41="","",変更届!A41)</f>
        <v/>
      </c>
      <c r="C14" s="993" t="str">
        <f>IF(B14="","",IF(COUNTIF(祝日!$A$1:$A$108,B14),"祝",WEEKDAY(B14)))</f>
        <v/>
      </c>
      <c r="D14" s="248" t="str">
        <f>IF(変更届!H41="","",変更届!H41)</f>
        <v/>
      </c>
      <c r="E14" s="248" t="str">
        <f>IF(変更届!N41="","",変更届!N41)</f>
        <v/>
      </c>
      <c r="F14" s="248" t="str">
        <f>IF(変更届!T41="","",変更届!T41)</f>
        <v/>
      </c>
      <c r="G14" s="249" t="str">
        <f>IF(変更届!Z41="","",変更届!Z41)</f>
        <v/>
      </c>
      <c r="H14" s="1256"/>
      <c r="I14" s="1257"/>
      <c r="J14" s="143"/>
      <c r="L14" s="1020"/>
      <c r="M14" s="217" t="str">
        <f>IF(D14="","",D14)</f>
        <v/>
      </c>
      <c r="N14" s="215" t="str">
        <f>E14</f>
        <v/>
      </c>
      <c r="O14" s="215" t="str">
        <f>F14</f>
        <v/>
      </c>
      <c r="P14" s="216" t="str">
        <f>G14</f>
        <v/>
      </c>
      <c r="Q14" s="218"/>
    </row>
    <row r="15" spans="1:17" ht="18.75" customHeight="1" thickBot="1">
      <c r="A15" s="1019"/>
      <c r="B15" s="1248"/>
      <c r="C15" s="994"/>
      <c r="D15" s="245" t="str">
        <f>IF(D14="","",VLOOKUP('判定表（変更）'!G22,料金!$E$1:$W$59,7,FALSE))</f>
        <v/>
      </c>
      <c r="E15" s="245" t="str">
        <f>IF(E14="","",VLOOKUP('判定表（変更）'!I22,料金!$E$1:$W$59,8,FALSE))</f>
        <v/>
      </c>
      <c r="F15" s="245" t="str">
        <f>IF(F14="","",VLOOKUP('判定表（変更）'!J22,料金!$E$1:$W$59,9,FALSE))</f>
        <v/>
      </c>
      <c r="G15" s="246" t="str">
        <f>IF(D14="","",IF(G14="7:30～9:30",VLOOKUP('判定表（変更）'!K22,料金!$E$1:$W$59,14,FALSE),IF(G14="8:00～9:30",VLOOKUP('判定表（変更）'!K22,料金!$E$1:$W$59,15,FALSE),IF(G14="8:30～9:30",VLOOKUP('判定表（変更）'!K22,料金!$E$1:$W$59,16,FALSE),""))))</f>
        <v/>
      </c>
      <c r="H15" s="1253">
        <f>SUM(D15:G15)</f>
        <v>0</v>
      </c>
      <c r="I15" s="1254"/>
      <c r="J15" s="143"/>
      <c r="L15" s="1020"/>
      <c r="M15" s="212" t="str">
        <f>IF(M14="","",VLOOKUP('判定表（変更）'!M22,料金!$E$1:$W$59,7,FALSE))</f>
        <v/>
      </c>
      <c r="N15" s="212" t="str">
        <f>IF(N14="","",VLOOKUP('判定表（変更）'!O22,料金!$E$1:$W$59,8,FALSE))</f>
        <v/>
      </c>
      <c r="O15" s="212" t="str">
        <f>IF(O14="","",VLOOKUP('判定表（変更）'!P22,料金!$E$1:$W$59,9,FALSE))</f>
        <v/>
      </c>
      <c r="P15" s="213" t="str">
        <f>IF(M14="","",IF(P14="7:30～9:30",VLOOKUP('判定表（変更）'!Q22,料金!$E$1:$W$59,14,FALSE),IF(P14="8:00～9:30",VLOOKUP('判定表（変更）'!Q22,料金!$E$1:$W$59,15,FALSE),IF(P14="8:30～9:30",VLOOKUP('判定表（変更）'!Q22,料金!$E$1:$W$59,16,FALSE),""))))</f>
        <v/>
      </c>
      <c r="Q15" s="214">
        <f>SUM(M15:P15)</f>
        <v>0</v>
      </c>
    </row>
    <row r="16" spans="1:17">
      <c r="A16" s="997" t="s">
        <v>168</v>
      </c>
      <c r="B16" s="1247" t="str">
        <f>IF(変更届!A47="","",変更届!A47)</f>
        <v/>
      </c>
      <c r="C16" s="1004" t="str">
        <f>IF(B16="","",IF(COUNTIF(祝日!$A$1:$A$108,B16),"祝",WEEKDAY(B16)))</f>
        <v/>
      </c>
      <c r="D16" s="254" t="str">
        <f>IF(OR(変更届!H47="",変更届!H47="（会議室選択）"),"",変更届!H47)</f>
        <v/>
      </c>
      <c r="E16" s="254" t="str">
        <f>IF(OR(変更届!N47="",変更届!N47="（会議室選択）"),"",変更届!N47)</f>
        <v/>
      </c>
      <c r="F16" s="254" t="str">
        <f>IF(OR(変更届!T47="",変更届!T47="（会議室選択）"),"",変更届!T47)</f>
        <v/>
      </c>
      <c r="G16" s="255" t="str">
        <f>IF(OR(変更届!Z47="",変更届!Z47="（使用時間選択・午前使用の施設に適用）"),"",変更届!Z47)</f>
        <v/>
      </c>
      <c r="H16" s="1251"/>
      <c r="I16" s="1252"/>
      <c r="J16" s="143"/>
      <c r="L16" s="1013" t="s">
        <v>168</v>
      </c>
      <c r="M16" s="223" t="str">
        <f>D16</f>
        <v/>
      </c>
      <c r="N16" s="223" t="str">
        <f>E16</f>
        <v/>
      </c>
      <c r="O16" s="223" t="str">
        <f>F16</f>
        <v/>
      </c>
      <c r="P16" s="224" t="str">
        <f>G16</f>
        <v/>
      </c>
      <c r="Q16" s="225"/>
    </row>
    <row r="17" spans="1:17" ht="18.75" customHeight="1">
      <c r="A17" s="998"/>
      <c r="B17" s="1248"/>
      <c r="C17" s="1003"/>
      <c r="D17" s="245" t="str">
        <f>IF(D16="","",VLOOKUP('判定表（変更）'!G26,料金!$E$1:$W$59,7,FALSE)*'判定表（変更）'!G25)</f>
        <v/>
      </c>
      <c r="E17" s="245" t="str">
        <f>IF(E16="","",VLOOKUP('判定表（変更）'!I26,料金!$E$1:$W$59,8,FALSE)*'判定表（変更）'!I25)</f>
        <v/>
      </c>
      <c r="F17" s="245" t="str">
        <f>IF(F16="","",VLOOKUP('判定表（変更）'!J26,料金!$E$1:$W$59,9,FALSE)*'判定表（変更）'!J25)</f>
        <v/>
      </c>
      <c r="G17" s="246" t="str">
        <f>IF(D16="","",IF(G16="7:30～9:30",VLOOKUP('判定表（変更）'!K26,料金!$E$1:$W$59,14,FALSE)*'判定表（変更）'!G25,IF(G16="8:00～9:30",VLOOKUP('判定表（変更）'!K26,料金!$E$1:$W$59,15,FALSE)*'判定表（変更）'!G25,IF(G16="8:30～9:30",VLOOKUP('判定表（変更）'!K26,料金!$E$1:$W$59,16,FALSE)*'判定表（変更）'!G25,""))))</f>
        <v/>
      </c>
      <c r="H17" s="1258">
        <f>SUM(D17:G17)</f>
        <v>0</v>
      </c>
      <c r="I17" s="1259"/>
      <c r="J17" s="143"/>
      <c r="L17" s="1014"/>
      <c r="M17" s="212" t="str">
        <f>IF(M16="","",VLOOKUP('判定表（変更）'!M$26,料金!$E$1:$W$59,7,FALSE)*'判定表（変更）'!M$25)</f>
        <v/>
      </c>
      <c r="N17" s="212" t="str">
        <f>IF(N16="","",VLOOKUP('判定表（変更）'!O26,料金!$E$1:$W$59,8,FALSE)*'判定表（変更）'!O25)</f>
        <v/>
      </c>
      <c r="O17" s="212" t="str">
        <f>IF(O16="","",VLOOKUP('判定表（変更）'!P26,料金!$E$1:$W$59,9,FALSE)*'判定表（変更）'!P25)</f>
        <v/>
      </c>
      <c r="P17" s="213" t="str">
        <f>IF(M16="","",IF(P16="7:30～9:30",VLOOKUP('判定表（変更）'!Q26,料金!$E$1:$W$59,14,FALSE)*'判定表（変更）'!M25,IF(P16="8:00～9:30",VLOOKUP('判定表（変更）'!Q26,料金!$E$1:$W$59,15,FALSE)*'判定表（変更）'!M25,IF(P16="8:30～9:30",VLOOKUP('判定表（変更）'!Q26,料金!$E$1:$W$59,16,FALSE)*'判定表（変更）'!M25,""))))</f>
        <v/>
      </c>
      <c r="Q17" s="214">
        <f>SUM(M17:P17)</f>
        <v>0</v>
      </c>
    </row>
    <row r="18" spans="1:17">
      <c r="A18" s="998"/>
      <c r="B18" s="1249" t="str">
        <f>IF(変更届!A49="","",変更届!A49)</f>
        <v/>
      </c>
      <c r="C18" s="993" t="str">
        <f>IF(B18="","",IF(COUNTIF(祝日!$A$1:$A$108,B18),"祝",WEEKDAY(B18)))</f>
        <v/>
      </c>
      <c r="D18" s="248" t="str">
        <f>IF(OR(変更届!H49="",変更届!H49="（会議室選択）"),"",変更届!H49)</f>
        <v/>
      </c>
      <c r="E18" s="248" t="str">
        <f>IF(OR(変更届!N49="",変更届!N49="（会議室選択）"),"",変更届!N49)</f>
        <v/>
      </c>
      <c r="F18" s="325" t="str">
        <f>IF(OR(変更届!T49="",変更届!T49="（会議室選択）"),"",変更届!T49)</f>
        <v/>
      </c>
      <c r="G18" s="324" t="str">
        <f>IF(OR(変更届!Z49="",変更届!Z49="（使用時間選択・午前使用の施設に適用）"),"",変更届!Z49)</f>
        <v/>
      </c>
      <c r="H18" s="1253"/>
      <c r="I18" s="1254"/>
      <c r="J18" s="143"/>
      <c r="L18" s="1014"/>
      <c r="M18" s="217" t="str">
        <f>D18</f>
        <v/>
      </c>
      <c r="N18" s="215" t="str">
        <f>E18</f>
        <v/>
      </c>
      <c r="O18" s="215" t="str">
        <f>F18</f>
        <v/>
      </c>
      <c r="P18" s="216" t="str">
        <f>G18</f>
        <v/>
      </c>
      <c r="Q18" s="218"/>
    </row>
    <row r="19" spans="1:17" ht="18.75" customHeight="1">
      <c r="A19" s="998"/>
      <c r="B19" s="1250"/>
      <c r="C19" s="1003"/>
      <c r="D19" s="251" t="str">
        <f>IF(D18="","",VLOOKUP('判定表（変更）'!G28,料金!$E$1:$W$59,7,FALSE)*'判定表（変更）'!G27)</f>
        <v/>
      </c>
      <c r="E19" s="251" t="str">
        <f>IF(E18="","",VLOOKUP('判定表（変更）'!I28,料金!$E$1:$W$59,8,FALSE)*'判定表（変更）'!I27)</f>
        <v/>
      </c>
      <c r="F19" s="326" t="str">
        <f>IF(F18="","",VLOOKUP('判定表（変更）'!J28,料金!$E$1:$W$59,9,FALSE)*'判定表（変更）'!J27)</f>
        <v/>
      </c>
      <c r="G19" s="323" t="str">
        <f>IF(D18="","",IF(G18="7:30～9:30",VLOOKUP('判定表（変更）'!K28,料金!$E$1:$W$59,14,FALSE)*'判定表（変更）'!G27,IF(G18="8:00～9:30",VLOOKUP('判定表（変更）'!K28,料金!$E$1:$W$59,15,FALSE)*'判定表（変更）'!G27,IF(G18="8:30～9:30",VLOOKUP('判定表（変更）'!K28,料金!$E$1:$W$59,16,FALSE)*'判定表（変更）'!G27,""))))</f>
        <v/>
      </c>
      <c r="H19" s="1253">
        <f>SUM(D19:G19)</f>
        <v>0</v>
      </c>
      <c r="I19" s="1254"/>
      <c r="J19" s="143"/>
      <c r="L19" s="1014"/>
      <c r="M19" s="222" t="str">
        <f>IF(M18="","",VLOOKUP('判定表（変更）'!M28,料金!$E$1:$W$59,7,FALSE)*'判定表（変更）'!M27)</f>
        <v/>
      </c>
      <c r="N19" s="219" t="str">
        <f>IF(N18="","",VLOOKUP('判定表（変更）'!O28,料金!$E$1:$W$59,8,FALSE)*'判定表（変更）'!O27)</f>
        <v/>
      </c>
      <c r="O19" s="219" t="str">
        <f>IF(O18="","",VLOOKUP('判定表（変更）'!P28,料金!$E$1:$W$59,9,FALSE)*'判定表（変更）'!P27)</f>
        <v/>
      </c>
      <c r="P19" s="220" t="str">
        <f>IF(M18="","",IF(P18="7:30～9:30",VLOOKUP('判定表（変更）'!Q28,料金!$E$1:$W$59,14,FALSE)*'判定表（変更）'!M27,IF(P18="8:00～9:30",VLOOKUP('判定表（変更）'!Q28,料金!$E$1:$W$59,15,FALSE)*'判定表（変更）'!M27,IF(P18="8:30～9:30",VLOOKUP('判定表（変更）'!Q28,料金!$E$1:$W$59,16,FALSE)*'判定表（変更）'!M27,""))))</f>
        <v/>
      </c>
      <c r="Q19" s="221">
        <f>SUM(M19:P19)</f>
        <v>0</v>
      </c>
    </row>
    <row r="20" spans="1:17">
      <c r="A20" s="998"/>
      <c r="B20" s="1248" t="str">
        <f>IF(変更届!A51="","",変更届!A51)</f>
        <v/>
      </c>
      <c r="C20" s="993" t="str">
        <f>IF(B20="","",IF(COUNTIF(祝日!$A$1:$A$108,B20),"祝",WEEKDAY(B20)))</f>
        <v/>
      </c>
      <c r="D20" s="242" t="str">
        <f>IF(OR(変更届!H51="",変更届!H51="（会議室選択）"),"",変更届!H51)</f>
        <v/>
      </c>
      <c r="E20" s="242" t="str">
        <f>IF(OR(変更届!N51="",変更届!N51="（会議室選択）"),"",変更届!N51)</f>
        <v/>
      </c>
      <c r="F20" s="242" t="str">
        <f>IF(OR(変更届!T51="",変更届!T51="（会議室選択）"),"",変更届!T51)</f>
        <v/>
      </c>
      <c r="G20" s="243" t="str">
        <f>IF(OR(変更届!Z51="",変更届!Z51="（使用時間選択・午前使用の施設に適用）"),"",変更届!Z51)</f>
        <v/>
      </c>
      <c r="H20" s="1256"/>
      <c r="I20" s="1257"/>
      <c r="J20" s="143"/>
      <c r="L20" s="1014"/>
      <c r="M20" s="209" t="str">
        <f>D20</f>
        <v/>
      </c>
      <c r="N20" s="209" t="str">
        <f>E20</f>
        <v/>
      </c>
      <c r="O20" s="209" t="str">
        <f>F20</f>
        <v/>
      </c>
      <c r="P20" s="210" t="str">
        <f>G20</f>
        <v/>
      </c>
      <c r="Q20" s="211"/>
    </row>
    <row r="21" spans="1:17" ht="18.75" customHeight="1">
      <c r="A21" s="998"/>
      <c r="B21" s="1248"/>
      <c r="C21" s="1003"/>
      <c r="D21" s="251" t="str">
        <f>IF(D20="","",VLOOKUP('判定表（変更）'!G30,料金!$E$1:$W$59,7,FALSE)*'判定表（変更）'!G29)</f>
        <v/>
      </c>
      <c r="E21" s="251" t="str">
        <f>IF(E20="","",VLOOKUP('判定表（変更）'!I30,料金!$E$1:$W$59,8,FALSE)*'判定表（変更）'!I29)</f>
        <v/>
      </c>
      <c r="F21" s="326" t="str">
        <f>IF(F20="","",VLOOKUP('判定表（変更）'!J30,料金!$E$1:$W$59,9,FALSE)*'判定表（変更）'!J29)</f>
        <v/>
      </c>
      <c r="G21" s="246" t="str">
        <f>IF(D20="","",IF(G20="7:30～9:30",VLOOKUP('判定表（変更）'!K30,料金!$E$1:$W$59,14,FALSE)*'判定表（変更）'!G29,IF(G20="8:00～9:30",VLOOKUP('判定表（変更）'!K30,料金!$E$1:$W$59,15,FALSE)*'判定表（変更）'!G29,IF(G20="8:30～9:30",VLOOKUP('判定表（変更）'!K30,料金!$E$1:$W$59,16,FALSE)*'判定表（変更）'!G29,""))))</f>
        <v/>
      </c>
      <c r="H21" s="1258">
        <f>SUM(D21:G21)</f>
        <v>0</v>
      </c>
      <c r="I21" s="1259"/>
      <c r="J21" s="143"/>
      <c r="L21" s="1014"/>
      <c r="M21" s="212" t="str">
        <f>IF(M20="","",VLOOKUP('判定表（変更）'!M30,料金!$E$1:$W$59,7,FALSE)*'判定表（変更）'!M29)</f>
        <v/>
      </c>
      <c r="N21" s="212" t="str">
        <f>IF(N20="","",VLOOKUP('判定表（変更）'!O30,料金!$E$1:$W$59,8,FALSE)*'判定表（変更）'!O29)</f>
        <v/>
      </c>
      <c r="O21" s="212" t="str">
        <f>IF(O20="","",VLOOKUP('判定表（変更）'!P30,料金!$E$1:$W$59,9,FALSE)*'判定表（変更）'!P29)</f>
        <v/>
      </c>
      <c r="P21" s="213" t="str">
        <f>IF(M20="","",IF(P20="7:30～9:30",VLOOKUP('判定表（変更）'!Q30,料金!$E$1:$W$59,14,FALSE)*'判定表（変更）'!M29,IF(P20="8:00～9:30",VLOOKUP('判定表（変更）'!Q30,料金!$E$1:$W$59,15,FALSE)*'判定表（変更）'!M29,IF(P20="8:30～9:30",VLOOKUP('判定表（変更）'!Q30,料金!$E$1:$W$59,16,FALSE)*'判定表（変更）'!M29,""))))</f>
        <v/>
      </c>
      <c r="Q21" s="214">
        <f>SUM(M21:P21)</f>
        <v>0</v>
      </c>
    </row>
    <row r="22" spans="1:17">
      <c r="A22" s="998"/>
      <c r="B22" s="1249" t="str">
        <f>IF(変更届!A53="","",変更届!A53)</f>
        <v/>
      </c>
      <c r="C22" s="993" t="str">
        <f>IF(B22="","",IF(COUNTIF(祝日!$A$1:$A$108,B22),"祝",WEEKDAY(B22)))</f>
        <v/>
      </c>
      <c r="D22" s="242" t="str">
        <f>IF(OR(変更届!H53="",変更届!H53="（会議室選択）"),"",変更届!H53)</f>
        <v/>
      </c>
      <c r="E22" s="242" t="str">
        <f>IF(OR(変更届!N53="",変更届!N53="（会議室選択）"),"",変更届!N53)</f>
        <v/>
      </c>
      <c r="F22" s="242" t="str">
        <f>IF(OR(変更届!T53="",変更届!T53="（会議室選択）"),"",変更届!T53)</f>
        <v/>
      </c>
      <c r="G22" s="324" t="str">
        <f>IF(OR(変更届!Z53="",変更届!Z53="（使用時間選択・午前使用の施設に適用）"),"",変更届!Z53)</f>
        <v/>
      </c>
      <c r="H22" s="1253"/>
      <c r="I22" s="1254"/>
      <c r="J22" s="143"/>
      <c r="L22" s="1014"/>
      <c r="M22" s="217" t="str">
        <f>D22</f>
        <v/>
      </c>
      <c r="N22" s="215" t="str">
        <f>E22</f>
        <v/>
      </c>
      <c r="O22" s="215" t="str">
        <f>F22</f>
        <v/>
      </c>
      <c r="P22" s="216" t="str">
        <f>G22</f>
        <v/>
      </c>
      <c r="Q22" s="218"/>
    </row>
    <row r="23" spans="1:17" ht="18.75" customHeight="1" thickBot="1">
      <c r="A23" s="999"/>
      <c r="B23" s="1255"/>
      <c r="C23" s="994"/>
      <c r="D23" s="257" t="str">
        <f>IF(D22="","",VLOOKUP('判定表（変更）'!G32,料金!$E$1:$W$59,7,FALSE)*'判定表（変更）'!G31)</f>
        <v/>
      </c>
      <c r="E23" s="257" t="str">
        <f>IF(E22="","",VLOOKUP('判定表（変更）'!I32,料金!$E$1:$W$59,8,FALSE)*'判定表（変更）'!I31)</f>
        <v/>
      </c>
      <c r="F23" s="257" t="str">
        <f>IF(F22="","",VLOOKUP('判定表（変更）'!J32,料金!$E$1:$W$59,9,FALSE)*'判定表（変更）'!J31)</f>
        <v/>
      </c>
      <c r="G23" s="258" t="str">
        <f>IF(D22="","",IF(G22="7:30～9:30",VLOOKUP('判定表（変更）'!K32,料金!$E$1:$W$59,14,FALSE)*'判定表（変更）'!G31,IF(G22="8:00～9:30",VLOOKUP('判定表（変更）'!K32,料金!$E$1:$W$59,15,FALSE)*'判定表（変更）'!G31,IF(G22="8:30～9:30",VLOOKUP('判定表（変更）'!K32,料金!$E$1:$W$59,16,FALSE)*'判定表（変更）'!G31,""))))</f>
        <v/>
      </c>
      <c r="H23" s="1253">
        <f>SUM(D23:G23)</f>
        <v>0</v>
      </c>
      <c r="I23" s="1254"/>
      <c r="J23" s="143"/>
      <c r="L23" s="1015"/>
      <c r="M23" s="229" t="str">
        <f>IF(M22="","",VLOOKUP('判定表（変更）'!M32,料金!$E$1:$W$59,7,FALSE)*'判定表（変更）'!M31)</f>
        <v/>
      </c>
      <c r="N23" s="226" t="str">
        <f>IF(N22="","",VLOOKUP('判定表（変更）'!O32,料金!$E$1:$W$59,8,FALSE)*'判定表（変更）'!O31)</f>
        <v/>
      </c>
      <c r="O23" s="226" t="str">
        <f>IF(O22="","",VLOOKUP('判定表（変更）'!P32,料金!$E$1:$W$59,9,FALSE)*'判定表（変更）'!P31)</f>
        <v/>
      </c>
      <c r="P23" s="227" t="str">
        <f>IF(M22="","",IF(P22="7:30～9:30",VLOOKUP('判定表（変更）'!Q32,料金!$E$1:$W$59,14,FALSE)*'判定表（変更）'!M31,IF(P22="8:00～9:30",VLOOKUP('判定表（変更）'!Q32,料金!$E$1:$W$59,15,FALSE)*'判定表（変更）'!M31,IF(P22="8:30～9:30",VLOOKUP('判定表（変更）'!Q32,料金!$E$1:$W$59,16,FALSE)*'判定表（変更）'!M31,""))))</f>
        <v/>
      </c>
      <c r="Q23" s="228">
        <f>SUM(M23:P23)</f>
        <v>0</v>
      </c>
    </row>
    <row r="24" spans="1:17">
      <c r="A24" s="997" t="s">
        <v>6</v>
      </c>
      <c r="B24" s="1247" t="str">
        <f>IF(変更届!A47="","",IF(OR(変更届!AK48=TRUE,変更届!AL48=TRUE,変更届!AM48=TRUE),変更届!A47,""))</f>
        <v/>
      </c>
      <c r="C24" s="1004" t="str">
        <f>IF(B24="","",IF(COUNTIF(祝日!$A$1:$A$108,B24),"祝",WEEKDAY(B24)))</f>
        <v/>
      </c>
      <c r="D24" s="330"/>
      <c r="E24" s="330"/>
      <c r="F24" s="330"/>
      <c r="G24" s="260" t="str">
        <f>IF(変更届!AO48=TRUE,変更届!Z47,"")</f>
        <v/>
      </c>
      <c r="H24" s="1251"/>
      <c r="I24" s="1252"/>
      <c r="J24" s="143"/>
      <c r="L24" s="1013" t="s">
        <v>6</v>
      </c>
      <c r="M24" s="223"/>
      <c r="N24" s="223"/>
      <c r="O24" s="223"/>
      <c r="P24" s="224" t="str">
        <f>G24</f>
        <v/>
      </c>
      <c r="Q24" s="225"/>
    </row>
    <row r="25" spans="1:17" ht="18.75" customHeight="1">
      <c r="A25" s="998"/>
      <c r="B25" s="1248"/>
      <c r="C25" s="1003"/>
      <c r="D25" s="245" t="str">
        <f>IF('判定表（変更）'!G36="","",VLOOKUP('判定表（変更）'!G36,料金!$E$1:$W$59,7,FALSE))</f>
        <v/>
      </c>
      <c r="E25" s="245" t="str">
        <f>IF('判定表（変更）'!I36="","",VLOOKUP('判定表（変更）'!I36,料金!$E$1:$W$59,8,FALSE))</f>
        <v/>
      </c>
      <c r="F25" s="245" t="str">
        <f>IF('判定表（変更）'!J36="","",VLOOKUP('判定表（変更）'!J36,料金!$E$1:$W$59,9,FALSE))</f>
        <v/>
      </c>
      <c r="G25" s="246" t="str">
        <f>IF(変更届!AO48=TRUE,IF(G24="7:30～9:30",VLOOKUP('判定表（変更）'!K36,料金!$E$1:$W$59,14,FALSE),IF(G24="8:00～9:30",VLOOKUP('判定表（変更）'!K36,料金!$E$1:$W$59,15,FALSE),IF(G24="8:30～9:30",VLOOKUP('判定表（変更）'!K36,料金!$E$1:$W$59,16,FALSE)))),"")</f>
        <v/>
      </c>
      <c r="H25" s="1253">
        <f>SUM(D25:G25)</f>
        <v>0</v>
      </c>
      <c r="I25" s="1254"/>
      <c r="J25" s="143"/>
      <c r="L25" s="1014"/>
      <c r="M25" s="212" t="str">
        <f>IF('判定表（変更）'!M36="","",VLOOKUP('判定表（変更）'!M36,料金!$E$1:$W$59,7,FALSE))</f>
        <v/>
      </c>
      <c r="N25" s="212" t="str">
        <f>IF('判定表（変更）'!O36="","",VLOOKUP('判定表（変更）'!O36,料金!$E$1:$W$59,8,FALSE))</f>
        <v/>
      </c>
      <c r="O25" s="212" t="str">
        <f>IF('判定表（変更）'!P36="","",VLOOKUP('判定表（変更）'!P36,料金!$E$1:$W$59,9,FALSE))</f>
        <v/>
      </c>
      <c r="P25" s="213" t="str">
        <f>IF(変更届!AO48=TRUE,IF(P24="7:30～9:30",VLOOKUP('判定表（変更）'!Q36,料金!$E$1:$W$59,14,FALSE),IF(P24="8:00～9:30",VLOOKUP('判定表（変更）'!Q36,料金!$E$1:$W$59,15,FALSE),IF(P24="8:30～9:30",VLOOKUP('判定表（変更）'!Q36,料金!$E$1:$W$59,16,FALSE)))),"")</f>
        <v/>
      </c>
      <c r="Q25" s="214">
        <f>SUM(M25:P25)</f>
        <v>0</v>
      </c>
    </row>
    <row r="26" spans="1:17">
      <c r="A26" s="998"/>
      <c r="B26" s="1249" t="str">
        <f>IF(変更届!A49="","",IF(OR(変更届!AK50=TRUE,変更届!AL50=TRUE,変更届!AM50=TRUE),変更届!A49,""))</f>
        <v/>
      </c>
      <c r="C26" s="993" t="str">
        <f>IF(B26="","",IF(COUNTIF(祝日!$A$1:$A$108,B26),"祝",WEEKDAY(B26)))</f>
        <v/>
      </c>
      <c r="D26" s="261"/>
      <c r="E26" s="261"/>
      <c r="F26" s="261"/>
      <c r="G26" s="262" t="str">
        <f>IF(変更届!AO50=TRUE,変更届!Z49,"")</f>
        <v/>
      </c>
      <c r="H26" s="1256"/>
      <c r="I26" s="1257"/>
      <c r="J26" s="143"/>
      <c r="L26" s="1014"/>
      <c r="M26" s="215"/>
      <c r="N26" s="215"/>
      <c r="O26" s="215"/>
      <c r="P26" s="216" t="str">
        <f>G26</f>
        <v/>
      </c>
      <c r="Q26" s="218"/>
    </row>
    <row r="27" spans="1:17" ht="18.75" customHeight="1">
      <c r="A27" s="998"/>
      <c r="B27" s="1250"/>
      <c r="C27" s="1003"/>
      <c r="D27" s="251" t="str">
        <f>IF('判定表（変更）'!G38="","",VLOOKUP('判定表（変更）'!G38,料金!$E$1:$W$59,7,FALSE))</f>
        <v/>
      </c>
      <c r="E27" s="251" t="str">
        <f>IF('判定表（変更）'!I38="","",VLOOKUP('判定表（変更）'!I38,料金!$E$1:$W$59,8,FALSE))</f>
        <v/>
      </c>
      <c r="F27" s="251" t="str">
        <f>IF('判定表（変更）'!J38="","",VLOOKUP('判定表（変更）'!J38,料金!$E$1:$W$59,9,FALSE))</f>
        <v/>
      </c>
      <c r="G27" s="252" t="str">
        <f>IF(変更届!AO50=TRUE,IF(G26="7:30～9:30",VLOOKUP('判定表（変更）'!K38,料金!$E$1:$W$59,14,FALSE),IF(G26="8:00～9:30",VLOOKUP('判定表（変更）'!K38,料金!$E$1:$W$59,15,FALSE),IF(G26="8:30～9:30",VLOOKUP('判定表（変更）'!K38,料金!$E$1:$W$59,16,FALSE)))),"")</f>
        <v/>
      </c>
      <c r="H27" s="1258">
        <f>SUM(D27:G27)</f>
        <v>0</v>
      </c>
      <c r="I27" s="1259"/>
      <c r="J27" s="143"/>
      <c r="L27" s="1014"/>
      <c r="M27" s="219" t="str">
        <f>IF('判定表（変更）'!M38="","",VLOOKUP('判定表（変更）'!M38,料金!$E$1:$W$59,7,FALSE))</f>
        <v/>
      </c>
      <c r="N27" s="219" t="str">
        <f>IF('判定表（変更）'!O38="","",VLOOKUP('判定表（変更）'!O38,料金!$E$1:$W$59,8,FALSE))</f>
        <v/>
      </c>
      <c r="O27" s="219" t="str">
        <f>IF('判定表（変更）'!P38="","",VLOOKUP('判定表（変更）'!P38,料金!$E$1:$W$59,9,FALSE))</f>
        <v/>
      </c>
      <c r="P27" s="220" t="str">
        <f>IF(変更届!AO50=TRUE,IF(P26="7:30～9:30",VLOOKUP('判定表（変更）'!Q38,料金!$E$1:$W$59,14,FALSE),IF(G26="8:00～9:30",VLOOKUP('判定表（変更）'!Q38,料金!$E$1:$W$59,15,FALSE),IF(G26="8:30～9:30",VLOOKUP('判定表（変更）'!Q38,料金!$E$1:$W$59,16,FALSE)))),"")</f>
        <v/>
      </c>
      <c r="Q27" s="221">
        <f>SUM(M27:P27)</f>
        <v>0</v>
      </c>
    </row>
    <row r="28" spans="1:17">
      <c r="A28" s="998"/>
      <c r="B28" s="1249" t="str">
        <f>IF(変更届!A51="","",IF(OR(変更届!AK52=TRUE,変更届!AL52=TRUE,変更届!AM52=TRUE),変更届!A51,""))</f>
        <v/>
      </c>
      <c r="C28" s="993" t="str">
        <f>IF(B28="","",IF(COUNTIF(祝日!$A$1:$A$108,B28),"祝",WEEKDAY(B28)))</f>
        <v/>
      </c>
      <c r="D28" s="261"/>
      <c r="E28" s="261"/>
      <c r="F28" s="261"/>
      <c r="G28" s="262" t="str">
        <f>IF(変更届!AO52=TRUE,変更届!Z51,"")</f>
        <v/>
      </c>
      <c r="H28" s="1253"/>
      <c r="I28" s="1254"/>
      <c r="J28" s="143"/>
      <c r="L28" s="1014"/>
      <c r="M28" s="215"/>
      <c r="N28" s="215"/>
      <c r="O28" s="215"/>
      <c r="P28" s="216" t="str">
        <f>G28</f>
        <v/>
      </c>
      <c r="Q28" s="218"/>
    </row>
    <row r="29" spans="1:17" ht="18.75" customHeight="1">
      <c r="A29" s="998"/>
      <c r="B29" s="1250"/>
      <c r="C29" s="1003"/>
      <c r="D29" s="251" t="str">
        <f>IF('判定表（変更）'!G40="","",VLOOKUP('判定表（変更）'!G40,料金!$E$1:$W$59,7,FALSE))</f>
        <v/>
      </c>
      <c r="E29" s="251" t="str">
        <f>IF('判定表（変更）'!I40="","",VLOOKUP('判定表（変更）'!I40,料金!$E$1:$W$59,8,FALSE))</f>
        <v/>
      </c>
      <c r="F29" s="251" t="str">
        <f>IF('判定表（変更）'!J40="","",VLOOKUP('判定表（変更）'!J40,料金!$E$1:$W$59,9,FALSE))</f>
        <v/>
      </c>
      <c r="G29" s="252" t="str">
        <f>IF(変更届!AO52=TRUE,IF(G28="7:30～9:30",VLOOKUP('判定表（変更）'!K40,料金!$E$1:$W$59,14,FALSE),IF(G28="8:00～9:30",VLOOKUP('判定表（変更）'!K40,料金!$E$1:$W$59,15,FALSE),IF(G28="8:30～9:30",VLOOKUP('判定表（変更）'!K40,料金!$E$1:$W$59,16,FALSE)))),"")</f>
        <v/>
      </c>
      <c r="H29" s="1253">
        <f>SUM(D29:G29)</f>
        <v>0</v>
      </c>
      <c r="I29" s="1254"/>
      <c r="J29" s="143"/>
      <c r="L29" s="1014"/>
      <c r="M29" s="219" t="str">
        <f>IF('判定表（変更）'!M40="","",VLOOKUP('判定表（変更）'!M40,料金!$E$1:$W$59,7,FALSE))</f>
        <v/>
      </c>
      <c r="N29" s="219" t="str">
        <f>IF('判定表（変更）'!O40="","",VLOOKUP('判定表（変更）'!O40,料金!$E$1:$W$59,8,FALSE))</f>
        <v/>
      </c>
      <c r="O29" s="219" t="str">
        <f>IF('判定表（変更）'!P40="","",VLOOKUP('判定表（変更）'!P40,料金!$E$1:$W$59,9,FALSE))</f>
        <v/>
      </c>
      <c r="P29" s="220" t="str">
        <f>IF(変更届!AO52=TRUE,IF(P28="7:30～9:30",VLOOKUP('判定表（変更）'!Q40,料金!$E$1:$W$59,14,FALSE),IF(P28="8:00～9:30",VLOOKUP('判定表（変更）'!Q40,料金!$E$1:$W$59,15,FALSE),IF(G28="8:30～9:30",VLOOKUP('判定表（変更）'!Q40,料金!$E$1:$W$59,16,FALSE)))),"")</f>
        <v/>
      </c>
      <c r="Q29" s="221">
        <f>SUM(M29:P29)</f>
        <v>0</v>
      </c>
    </row>
    <row r="30" spans="1:17">
      <c r="A30" s="998"/>
      <c r="B30" s="1249" t="str">
        <f>IF(変更届!A53="","",IF(OR(変更届!AK54=TRUE,変更届!AL54=TRUE,変更届!AM54=TRUE),変更届!A53,""))</f>
        <v/>
      </c>
      <c r="C30" s="993" t="str">
        <f>IF(B30="","",IF(COUNTIF(祝日!$A$1:$A$108,B30),"祝",WEEKDAY(B30)))</f>
        <v/>
      </c>
      <c r="D30" s="261"/>
      <c r="E30" s="261"/>
      <c r="F30" s="261"/>
      <c r="G30" s="262" t="str">
        <f>IF(変更届!AO54=TRUE,変更届!Z53,"")</f>
        <v/>
      </c>
      <c r="H30" s="1256"/>
      <c r="I30" s="1257"/>
      <c r="J30" s="143"/>
      <c r="L30" s="1014"/>
      <c r="M30" s="215"/>
      <c r="N30" s="215"/>
      <c r="O30" s="215"/>
      <c r="P30" s="216" t="str">
        <f>G30</f>
        <v/>
      </c>
      <c r="Q30" s="218"/>
    </row>
    <row r="31" spans="1:17" ht="18.75" customHeight="1" thickBot="1">
      <c r="A31" s="998"/>
      <c r="B31" s="1250"/>
      <c r="C31" s="994"/>
      <c r="D31" s="245" t="str">
        <f>IF('判定表（変更）'!G42="","",VLOOKUP('判定表（変更）'!G42,料金!$E$1:$W$59,7,FALSE))</f>
        <v/>
      </c>
      <c r="E31" s="245" t="str">
        <f>IF('判定表（変更）'!I42="","",VLOOKUP('判定表（変更）'!I42,料金!$E$1:$W$59,8,FALSE))</f>
        <v/>
      </c>
      <c r="F31" s="245" t="str">
        <f>IF('判定表（変更）'!J42="","",VLOOKUP('判定表（変更）'!J42,料金!$E$1:$W$59,9,FALSE))</f>
        <v/>
      </c>
      <c r="G31" s="252" t="str">
        <f>IF(変更届!AO54=TRUE,IF(G30="7:30～9:30",VLOOKUP('判定表（変更）'!K42,料金!$E$1:$W$59,14,FALSE),IF(G30="8:00～9:30",VLOOKUP('判定表（変更）'!K42,料金!$E$1:$W$59,15,FALSE),IF(G30="8:30～9:30",VLOOKUP('判定表（変更）'!K42,料金!$E$1:$W$59,16,FALSE)))),"")</f>
        <v/>
      </c>
      <c r="H31" s="1266">
        <f>SUM(D31:G31)</f>
        <v>0</v>
      </c>
      <c r="I31" s="1267"/>
      <c r="J31" s="143"/>
      <c r="L31" s="1014"/>
      <c r="M31" s="212" t="str">
        <f>IF('判定表（変更）'!M42="","",VLOOKUP('判定表（変更）'!M42,料金!$E$1:$W$59,7,FALSE))</f>
        <v/>
      </c>
      <c r="N31" s="212" t="str">
        <f>IF('判定表（変更）'!O42="","",VLOOKUP('判定表（変更）'!O42,料金!$E$1:$W$59,8,FALSE))</f>
        <v/>
      </c>
      <c r="O31" s="212" t="str">
        <f>IF('判定表（変更）'!P42="","",VLOOKUP('判定表（変更）'!P42,料金!$E$1:$W$59,9,FALSE))</f>
        <v/>
      </c>
      <c r="P31" s="213" t="str">
        <f>IF(変更届!AO54=TRUE,IF(P30="7:30～9:30",VLOOKUP('判定表（変更）'!Q42,料金!$E$1:$W$59,14,FALSE),IF(P30="8:00～9:30",VLOOKUP('判定表（変更）'!Q42,料金!$E$1:$W$59,15,FALSE),IF(P30="8:30～9:30",VLOOKUP('判定表（変更）'!Q42,料金!$E$1:$W$59,16,FALSE)))),"")</f>
        <v/>
      </c>
      <c r="Q31" s="214">
        <f>SUM(M31:P31)</f>
        <v>0</v>
      </c>
    </row>
    <row r="32" spans="1:17" ht="18.75" customHeight="1" thickBot="1">
      <c r="A32" s="1010" t="s">
        <v>187</v>
      </c>
      <c r="B32" s="1011"/>
      <c r="C32" s="1012"/>
      <c r="D32" s="263" t="s">
        <v>186</v>
      </c>
      <c r="E32" s="263" t="s">
        <v>186</v>
      </c>
      <c r="F32" s="263" t="s">
        <v>186</v>
      </c>
      <c r="G32" s="264" t="s">
        <v>186</v>
      </c>
      <c r="H32" s="1268">
        <f>付帯設備備品使用申込書!AG53</f>
        <v>0</v>
      </c>
      <c r="I32" s="1269"/>
      <c r="J32" s="143"/>
      <c r="L32" s="233" t="s">
        <v>190</v>
      </c>
      <c r="M32" s="230" t="s">
        <v>186</v>
      </c>
      <c r="N32" s="230" t="s">
        <v>186</v>
      </c>
      <c r="O32" s="230" t="s">
        <v>186</v>
      </c>
      <c r="P32" s="231" t="s">
        <v>186</v>
      </c>
      <c r="Q32" s="232">
        <f>H32</f>
        <v>0</v>
      </c>
    </row>
    <row r="33" spans="1:17" ht="33" customHeight="1" thickTop="1" thickBot="1">
      <c r="A33" s="1005" t="s">
        <v>151</v>
      </c>
      <c r="B33" s="1006"/>
      <c r="C33" s="1006"/>
      <c r="D33" s="266">
        <f>SUM(D9,D11,D13,D15,D17,D19,D21,D23,D25,D27,D29,D31)</f>
        <v>0</v>
      </c>
      <c r="E33" s="266">
        <f t="shared" ref="E33:G33" si="0">SUM(E9,E11,E13,E15,E17,E19,E21,E23,E25,E27,E29,E31)</f>
        <v>0</v>
      </c>
      <c r="F33" s="267">
        <f t="shared" si="0"/>
        <v>0</v>
      </c>
      <c r="G33" s="268">
        <f t="shared" si="0"/>
        <v>0</v>
      </c>
      <c r="H33" s="1270">
        <f>SUM(H9,H11,H13,H15,H17,H19,H21,H23,H25,H27,H29,H31,H32)</f>
        <v>0</v>
      </c>
      <c r="I33" s="1271"/>
      <c r="J33" s="143"/>
      <c r="L33" s="235" t="s">
        <v>151</v>
      </c>
      <c r="M33" s="236">
        <f>SUM(M9,M11,M13,M15,M17,M19,M21,M23,M25,M27,M29,M31)</f>
        <v>0</v>
      </c>
      <c r="N33" s="236">
        <f t="shared" ref="N33:P33" si="1">SUM(N9,N11,N13,N15,N17,N19,N21,N23,N25,N27,N29,N31)</f>
        <v>0</v>
      </c>
      <c r="O33" s="237">
        <f t="shared" si="1"/>
        <v>0</v>
      </c>
      <c r="P33" s="238">
        <f t="shared" si="1"/>
        <v>0</v>
      </c>
      <c r="Q33" s="234">
        <f>SUM(Q9,Q11,Q13,Q15,Q17,Q19,Q21,Q23,Q25,Q27,Q29,Q31,Q32)</f>
        <v>0</v>
      </c>
    </row>
    <row r="34" spans="1:17">
      <c r="A34" s="143"/>
      <c r="B34" s="143"/>
      <c r="C34" s="143"/>
      <c r="D34" s="143"/>
      <c r="E34" s="143"/>
      <c r="F34" s="143"/>
      <c r="G34" s="143"/>
      <c r="H34" s="143"/>
      <c r="I34" s="143"/>
      <c r="J34" s="143"/>
    </row>
    <row r="35" spans="1:17" ht="12.75" thickBot="1"/>
    <row r="36" spans="1:17" ht="24" customHeight="1" thickBot="1">
      <c r="F36" s="1000" t="s">
        <v>188</v>
      </c>
      <c r="G36" s="1001"/>
      <c r="H36" s="1264">
        <f>SUM(H9,H11,H13,H15,H17,H19,H21,H23,H25,H27,H29,H31)</f>
        <v>0</v>
      </c>
      <c r="I36" s="1265"/>
      <c r="O36" s="1007" t="s">
        <v>188</v>
      </c>
      <c r="P36" s="1008"/>
      <c r="Q36" s="239">
        <f>SUM(Q9,Q11,Q13,Q15,Q17,Q19,Q21,Q23,Q25,Q27,Q29,Q31)</f>
        <v>0</v>
      </c>
    </row>
  </sheetData>
  <mergeCells count="73">
    <mergeCell ref="M1:O1"/>
    <mergeCell ref="H36:I36"/>
    <mergeCell ref="H26:I26"/>
    <mergeCell ref="H27:I27"/>
    <mergeCell ref="H28:I28"/>
    <mergeCell ref="H29:I29"/>
    <mergeCell ref="H30:I30"/>
    <mergeCell ref="H18:I18"/>
    <mergeCell ref="H19:I19"/>
    <mergeCell ref="H31:I31"/>
    <mergeCell ref="H32:I32"/>
    <mergeCell ref="H33:I33"/>
    <mergeCell ref="H1:I1"/>
    <mergeCell ref="H6:I7"/>
    <mergeCell ref="H8:I8"/>
    <mergeCell ref="L5:Q5"/>
    <mergeCell ref="A3:G4"/>
    <mergeCell ref="A5:G5"/>
    <mergeCell ref="H4:I4"/>
    <mergeCell ref="A8:A15"/>
    <mergeCell ref="B8:B9"/>
    <mergeCell ref="C8:C9"/>
    <mergeCell ref="H15:I15"/>
    <mergeCell ref="A6:C7"/>
    <mergeCell ref="G6:G7"/>
    <mergeCell ref="L6:L7"/>
    <mergeCell ref="P6:P7"/>
    <mergeCell ref="Q6:Q7"/>
    <mergeCell ref="L8:L15"/>
    <mergeCell ref="B10:B11"/>
    <mergeCell ref="C10:C11"/>
    <mergeCell ref="B12:B13"/>
    <mergeCell ref="C12:C13"/>
    <mergeCell ref="B14:B15"/>
    <mergeCell ref="C14:C15"/>
    <mergeCell ref="H9:I9"/>
    <mergeCell ref="H10:I10"/>
    <mergeCell ref="H11:I11"/>
    <mergeCell ref="H12:I12"/>
    <mergeCell ref="H13:I13"/>
    <mergeCell ref="H14:I14"/>
    <mergeCell ref="A16:A23"/>
    <mergeCell ref="B16:B17"/>
    <mergeCell ref="C16:C17"/>
    <mergeCell ref="L16:L23"/>
    <mergeCell ref="B18:B19"/>
    <mergeCell ref="C18:C19"/>
    <mergeCell ref="B20:B21"/>
    <mergeCell ref="C20:C21"/>
    <mergeCell ref="B22:B23"/>
    <mergeCell ref="C22:C23"/>
    <mergeCell ref="H20:I20"/>
    <mergeCell ref="H21:I21"/>
    <mergeCell ref="H22:I22"/>
    <mergeCell ref="H23:I23"/>
    <mergeCell ref="H16:I16"/>
    <mergeCell ref="H17:I17"/>
    <mergeCell ref="A32:C32"/>
    <mergeCell ref="A33:C33"/>
    <mergeCell ref="F36:G36"/>
    <mergeCell ref="O36:P36"/>
    <mergeCell ref="A24:A31"/>
    <mergeCell ref="B24:B25"/>
    <mergeCell ref="C24:C25"/>
    <mergeCell ref="L24:L31"/>
    <mergeCell ref="B26:B27"/>
    <mergeCell ref="C26:C27"/>
    <mergeCell ref="B28:B29"/>
    <mergeCell ref="C28:C29"/>
    <mergeCell ref="B30:B31"/>
    <mergeCell ref="C30:C31"/>
    <mergeCell ref="H24:I24"/>
    <mergeCell ref="H25:I25"/>
  </mergeCells>
  <phoneticPr fontId="4"/>
  <dataValidations count="1">
    <dataValidation type="list" allowBlank="1" showInputMessage="1" showErrorMessage="1" sqref="O2" xr:uid="{00000000-0002-0000-0900-000000000000}">
      <formula1>"○,×,◎"</formula1>
    </dataValidation>
  </dataValidations>
  <pageMargins left="0.51181102362204722" right="0.5118110236220472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申込書</vt:lpstr>
      <vt:lpstr>付帯設備備品使用申込書</vt:lpstr>
      <vt:lpstr>免除申請書</vt:lpstr>
      <vt:lpstr>使用者情報</vt:lpstr>
      <vt:lpstr>内訳書</vt:lpstr>
      <vt:lpstr>判定表</vt:lpstr>
      <vt:lpstr>変更届</vt:lpstr>
      <vt:lpstr>変更届（紙）</vt:lpstr>
      <vt:lpstr>内訳書 (変更）</vt:lpstr>
      <vt:lpstr>判定表（変更）</vt:lpstr>
      <vt:lpstr>付帯設備（確定）</vt:lpstr>
      <vt:lpstr>延長使用届</vt:lpstr>
      <vt:lpstr>使用取止め届</vt:lpstr>
      <vt:lpstr>使用取止め承認書</vt:lpstr>
      <vt:lpstr>試算書</vt:lpstr>
      <vt:lpstr>料金</vt:lpstr>
      <vt:lpstr>祝日</vt:lpstr>
      <vt:lpstr>延長使用届!Print_Area</vt:lpstr>
      <vt:lpstr>使用取止め承認書!Print_Area</vt:lpstr>
      <vt:lpstr>使用取止め届!Print_Area</vt:lpstr>
      <vt:lpstr>試算書!Print_Area</vt:lpstr>
      <vt:lpstr>祝日!Print_Area</vt:lpstr>
      <vt:lpstr>申込書!Print_Area</vt:lpstr>
      <vt:lpstr>内訳書!Print_Area</vt:lpstr>
      <vt:lpstr>'内訳書 (変更）'!Print_Area</vt:lpstr>
      <vt:lpstr>'付帯設備（確定）'!Print_Area</vt:lpstr>
      <vt:lpstr>付帯設備備品使用申込書!Print_Area</vt:lpstr>
      <vt:lpstr>変更届!Print_Area</vt:lpstr>
      <vt:lpstr>'変更届（紙）'!Print_Area</vt:lpstr>
      <vt:lpstr>免除申請書!Print_Area</vt:lpstr>
      <vt:lpstr>選定会議</vt:lpstr>
      <vt:lpstr>台帳用データ</vt:lpstr>
      <vt:lpstr>利用者管理</vt:lpstr>
    </vt:vector>
  </TitlesOfParts>
  <Company>東北大学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社会連携課</dc:creator>
  <cp:lastModifiedBy>及川　佳奈</cp:lastModifiedBy>
  <cp:lastPrinted>2026-03-24T06:09:21Z</cp:lastPrinted>
  <dcterms:created xsi:type="dcterms:W3CDTF">2019-10-11T03:26:34Z</dcterms:created>
  <dcterms:modified xsi:type="dcterms:W3CDTF">2026-04-22T01:16:52Z</dcterms:modified>
</cp:coreProperties>
</file>